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mc:AlternateContent xmlns:mc="http://schemas.openxmlformats.org/markup-compatibility/2006">
    <mc:Choice Requires="x15">
      <x15ac:absPath xmlns:x15ac="http://schemas.microsoft.com/office/spreadsheetml/2010/11/ac" url="C:\Users\Juan Sebastian Ponce\AppData\Local\Microsoft\Windows\INetCache\Content.Outlook\SRU9Y60V\"/>
    </mc:Choice>
  </mc:AlternateContent>
  <xr:revisionPtr revIDLastSave="0" documentId="13_ncr:1_{3D174F01-A0CE-4BA4-B5F5-98BB7C8B5E42}" xr6:coauthVersionLast="47" xr6:coauthVersionMax="47" xr10:uidLastSave="{00000000-0000-0000-0000-000000000000}"/>
  <workbookProtection workbookAlgorithmName="SHA-512" workbookHashValue="khFZ8cYPIbi+m6e59buYLhDHv/s2apvA1yvBj3wioEEymw6VbM16zjrg3mWeC26koDBMbrvbxwFlaCWAaslkSw==" workbookSaltValue="DBGYQQZXXQLzFuDFcFTBaQ==" workbookSpinCount="100000" lockStructure="1"/>
  <bookViews>
    <workbookView xWindow="-108" yWindow="-108" windowWidth="23256" windowHeight="12576" firstSheet="2" activeTab="2" xr2:uid="{21252052-83E8-43D3-9642-6838CCCFE45F}"/>
  </bookViews>
  <sheets>
    <sheet name="Supuestos" sheetId="4" state="hidden" r:id="rId1"/>
    <sheet name="Model S" sheetId="3" state="hidden" r:id="rId2"/>
    <sheet name="Calculadora CTO" sheetId="3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D19" i="36"/>
  <c r="D67" i="36" l="1"/>
  <c r="D66" i="36"/>
  <c r="D54" i="36"/>
  <c r="D44" i="36"/>
  <c r="D45" i="36" s="1" a="1"/>
  <c r="D45" i="36" s="1"/>
  <c r="D39" i="36"/>
  <c r="D37" i="36" a="1"/>
  <c r="D37" i="36" s="1"/>
  <c r="D38" i="36" s="1"/>
  <c r="D34" i="36" a="1"/>
  <c r="D34" i="36" s="1"/>
  <c r="D68" i="36" l="1"/>
  <c r="D36" i="36"/>
  <c r="D35" i="36"/>
  <c r="D50" i="36"/>
  <c r="D51" i="36" s="1"/>
  <c r="D22" i="36"/>
  <c r="D25" i="36" s="1"/>
  <c r="D52" i="36" l="1"/>
  <c r="E46" i="4" l="1"/>
  <c r="F46" i="4"/>
  <c r="G46" i="4"/>
  <c r="H46" i="4"/>
  <c r="I46" i="4"/>
  <c r="J46" i="4"/>
  <c r="Q46" i="4"/>
  <c r="P46" i="4"/>
  <c r="O46" i="4"/>
  <c r="N46" i="4"/>
  <c r="M46" i="4"/>
  <c r="XFD46" i="4"/>
  <c r="L46" i="4"/>
  <c r="L42" i="4"/>
  <c r="L16" i="4"/>
  <c r="Q35" i="4"/>
  <c r="Q36" i="4"/>
  <c r="Q37" i="4"/>
  <c r="Q38" i="4"/>
  <c r="Q39" i="4"/>
  <c r="Q40" i="4"/>
  <c r="Q41" i="4"/>
  <c r="Q42" i="4"/>
  <c r="P35" i="4"/>
  <c r="P36" i="4"/>
  <c r="P37" i="4"/>
  <c r="P38" i="4"/>
  <c r="P39" i="4"/>
  <c r="P40" i="4"/>
  <c r="P41" i="4"/>
  <c r="P42" i="4"/>
  <c r="O35" i="4"/>
  <c r="O36" i="4"/>
  <c r="O37" i="4"/>
  <c r="O38" i="4"/>
  <c r="O39" i="4"/>
  <c r="O40" i="4"/>
  <c r="O41" i="4"/>
  <c r="O42" i="4"/>
  <c r="N35" i="4"/>
  <c r="N36" i="4"/>
  <c r="N37" i="4"/>
  <c r="N38" i="4"/>
  <c r="N39" i="4"/>
  <c r="N40" i="4"/>
  <c r="N41" i="4"/>
  <c r="N42" i="4"/>
  <c r="M35" i="4"/>
  <c r="M36" i="4"/>
  <c r="M37" i="4"/>
  <c r="M38" i="4"/>
  <c r="M39" i="4"/>
  <c r="M40" i="4"/>
  <c r="M41" i="4"/>
  <c r="M42" i="4"/>
  <c r="L35" i="4"/>
  <c r="L36" i="4"/>
  <c r="L37" i="4"/>
  <c r="L38" i="4"/>
  <c r="L39" i="4"/>
  <c r="L40" i="4"/>
  <c r="L41" i="4"/>
  <c r="J35" i="4"/>
  <c r="J36" i="4"/>
  <c r="J37" i="4"/>
  <c r="J38" i="4"/>
  <c r="J39" i="4"/>
  <c r="J40" i="4"/>
  <c r="J41" i="4"/>
  <c r="J42" i="4"/>
  <c r="I35" i="4"/>
  <c r="I36" i="4"/>
  <c r="I37" i="4"/>
  <c r="I38" i="4"/>
  <c r="I39" i="4"/>
  <c r="I40" i="4"/>
  <c r="I41" i="4"/>
  <c r="I42" i="4"/>
  <c r="H35" i="4"/>
  <c r="H36" i="4"/>
  <c r="H37" i="4"/>
  <c r="H38" i="4"/>
  <c r="H39" i="4"/>
  <c r="H40" i="4"/>
  <c r="H41" i="4"/>
  <c r="H42" i="4"/>
  <c r="G35" i="4"/>
  <c r="G36" i="4"/>
  <c r="G37" i="4"/>
  <c r="G38" i="4"/>
  <c r="G39" i="4"/>
  <c r="G40" i="4"/>
  <c r="G41" i="4"/>
  <c r="G42" i="4"/>
  <c r="F35" i="4"/>
  <c r="F36" i="4"/>
  <c r="F37" i="4"/>
  <c r="F38" i="4"/>
  <c r="F39" i="4"/>
  <c r="F40" i="4"/>
  <c r="F41" i="4"/>
  <c r="F42" i="4"/>
  <c r="E35" i="4"/>
  <c r="E36" i="4"/>
  <c r="E37" i="4"/>
  <c r="E38" i="4"/>
  <c r="E39" i="4"/>
  <c r="E40" i="4"/>
  <c r="E41" i="4"/>
  <c r="E42" i="4"/>
  <c r="E34" i="4"/>
  <c r="F34" i="4"/>
  <c r="G34" i="4"/>
  <c r="H34" i="4"/>
  <c r="I34" i="4"/>
  <c r="J34" i="4"/>
  <c r="Q34" i="4"/>
  <c r="P34" i="4"/>
  <c r="O34" i="4"/>
  <c r="N34" i="4"/>
  <c r="M34" i="4"/>
  <c r="L34" i="4"/>
  <c r="L4" i="4"/>
  <c r="Q16" i="4"/>
  <c r="P16" i="4"/>
  <c r="O16" i="4"/>
  <c r="N16" i="4"/>
  <c r="M16" i="4"/>
  <c r="Q5" i="4"/>
  <c r="Q6" i="4"/>
  <c r="Q7" i="4"/>
  <c r="Q8" i="4"/>
  <c r="Q9" i="4"/>
  <c r="Q10" i="4"/>
  <c r="Q11" i="4"/>
  <c r="Q12" i="4"/>
  <c r="Q4" i="4"/>
  <c r="D5" i="4"/>
  <c r="D6" i="4"/>
  <c r="D7" i="4"/>
  <c r="D8" i="4"/>
  <c r="D9" i="4"/>
  <c r="D10" i="4"/>
  <c r="D11" i="4"/>
  <c r="D12" i="4"/>
  <c r="D4" i="4"/>
  <c r="E5" i="4"/>
  <c r="E6" i="4"/>
  <c r="E7" i="4"/>
  <c r="E8" i="4"/>
  <c r="E9" i="4"/>
  <c r="E10" i="4"/>
  <c r="E11" i="4"/>
  <c r="E12" i="4"/>
  <c r="E4" i="4"/>
  <c r="F5" i="4"/>
  <c r="F6" i="4"/>
  <c r="F7" i="4"/>
  <c r="F8" i="4"/>
  <c r="F9" i="4"/>
  <c r="F10" i="4"/>
  <c r="F11" i="4"/>
  <c r="F12" i="4"/>
  <c r="F4" i="4"/>
  <c r="G5" i="4"/>
  <c r="G6" i="4"/>
  <c r="G7" i="4"/>
  <c r="G8" i="4"/>
  <c r="G9" i="4"/>
  <c r="G10" i="4"/>
  <c r="G11" i="4"/>
  <c r="G12" i="4"/>
  <c r="G4" i="4"/>
  <c r="H5" i="4"/>
  <c r="H6" i="4"/>
  <c r="H7" i="4"/>
  <c r="H8" i="4"/>
  <c r="H9" i="4"/>
  <c r="H10" i="4"/>
  <c r="H11" i="4"/>
  <c r="H12" i="4"/>
  <c r="H4" i="4"/>
  <c r="I5" i="4"/>
  <c r="I6" i="4"/>
  <c r="I7" i="4"/>
  <c r="I8" i="4"/>
  <c r="I10" i="4"/>
  <c r="I11" i="4"/>
  <c r="I12" i="4"/>
  <c r="I4" i="4"/>
  <c r="J5" i="4"/>
  <c r="J6" i="4"/>
  <c r="J7" i="4"/>
  <c r="J8" i="4"/>
  <c r="J9" i="4"/>
  <c r="J10" i="4"/>
  <c r="J11" i="4"/>
  <c r="J12" i="4"/>
  <c r="J4" i="4"/>
  <c r="P5" i="4"/>
  <c r="P6" i="4"/>
  <c r="P7" i="4"/>
  <c r="P8" i="4"/>
  <c r="P9" i="4"/>
  <c r="P10" i="4"/>
  <c r="P11" i="4"/>
  <c r="P12" i="4"/>
  <c r="P4" i="4"/>
  <c r="O5" i="4"/>
  <c r="O6" i="4"/>
  <c r="O7" i="4"/>
  <c r="O8" i="4"/>
  <c r="O9" i="4"/>
  <c r="O10" i="4"/>
  <c r="O11" i="4"/>
  <c r="O12" i="4"/>
  <c r="O4" i="4"/>
  <c r="N5" i="4"/>
  <c r="N6" i="4"/>
  <c r="N7" i="4"/>
  <c r="N8" i="4"/>
  <c r="N9" i="4"/>
  <c r="N10" i="4"/>
  <c r="N11" i="4"/>
  <c r="N12" i="4"/>
  <c r="N4" i="4"/>
  <c r="M5" i="4"/>
  <c r="M6" i="4"/>
  <c r="M7" i="4"/>
  <c r="M8" i="4"/>
  <c r="M9" i="4"/>
  <c r="M10" i="4"/>
  <c r="M11" i="4"/>
  <c r="M12" i="4"/>
  <c r="M4" i="4"/>
  <c r="L5" i="4"/>
  <c r="L6" i="4"/>
  <c r="L7" i="4"/>
  <c r="L8" i="4"/>
  <c r="L9" i="4"/>
  <c r="L10" i="4"/>
  <c r="L11" i="4"/>
  <c r="L12" i="4"/>
  <c r="C106" i="4" l="1"/>
  <c r="D117" i="4"/>
  <c r="D105" i="4"/>
  <c r="D53" i="4" l="1"/>
  <c r="K3" i="3" l="1"/>
  <c r="C10" i="3" s="1"/>
  <c r="C3" i="3" l="1"/>
  <c r="C31" i="3"/>
  <c r="C30" i="3"/>
  <c r="C23" i="3"/>
  <c r="C4" i="3"/>
  <c r="C12" i="3"/>
  <c r="C16" i="3"/>
  <c r="C11" i="3"/>
  <c r="C5" i="3"/>
  <c r="C13" i="3"/>
  <c r="C14" i="3"/>
  <c r="C8" i="3"/>
  <c r="C6" i="3"/>
  <c r="C9" i="3"/>
  <c r="C7" i="3"/>
  <c r="C15" i="3"/>
  <c r="C29" i="3"/>
  <c r="C24" i="3"/>
  <c r="C25" i="3"/>
  <c r="C26" i="3"/>
  <c r="C34" i="3"/>
  <c r="C35" i="3"/>
  <c r="C36" i="3"/>
  <c r="C32" i="3"/>
  <c r="C33" i="3"/>
  <c r="C27" i="3"/>
  <c r="C28" i="3"/>
  <c r="D75" i="4"/>
  <c r="D67" i="4"/>
  <c r="C54" i="4"/>
  <c r="D79" i="4"/>
  <c r="D71" i="4"/>
  <c r="D54" i="4" l="1"/>
  <c r="C57" i="4"/>
  <c r="D57" i="4" s="1"/>
  <c r="C55" i="4"/>
  <c r="D55" i="4" s="1"/>
  <c r="C56" i="4" l="1"/>
  <c r="D56" i="4" s="1"/>
  <c r="E30" i="3" l="1"/>
  <c r="E31" i="3" s="1"/>
  <c r="F30" i="3" l="1"/>
  <c r="E24" i="3"/>
  <c r="F24" i="3" s="1"/>
  <c r="E25" i="3"/>
  <c r="F25" i="3" s="1"/>
  <c r="E26" i="3"/>
  <c r="F26" i="3" s="1"/>
  <c r="E27" i="3"/>
  <c r="F27" i="3" s="1"/>
  <c r="E28" i="3"/>
  <c r="F28" i="3" s="1"/>
  <c r="F31" i="3"/>
  <c r="E29" i="3"/>
  <c r="F29" i="3" s="1"/>
  <c r="E34" i="3"/>
  <c r="F34" i="3" s="1"/>
  <c r="E33" i="3"/>
  <c r="F33" i="3" s="1"/>
  <c r="E35" i="3"/>
  <c r="F35" i="3" s="1"/>
  <c r="E36" i="3"/>
  <c r="F36" i="3" s="1"/>
  <c r="E32" i="3"/>
  <c r="F32" i="3" s="1"/>
  <c r="E10" i="3" l="1"/>
  <c r="H30" i="3"/>
  <c r="H36" i="3" s="1"/>
  <c r="E16" i="3" l="1"/>
  <c r="F16" i="3" s="1"/>
  <c r="E11" i="3"/>
  <c r="F11" i="3" s="1"/>
  <c r="H29" i="3"/>
  <c r="H24" i="3"/>
  <c r="H25" i="3"/>
  <c r="H26" i="3"/>
  <c r="H27" i="3"/>
  <c r="H28" i="3"/>
  <c r="H31" i="3"/>
  <c r="H34" i="3"/>
  <c r="H35" i="3"/>
  <c r="H33" i="3"/>
  <c r="H32" i="3"/>
  <c r="E13" i="3"/>
  <c r="F13" i="3" s="1"/>
  <c r="E6" i="3"/>
  <c r="F6" i="3" s="1"/>
  <c r="F10" i="3"/>
  <c r="E15" i="3"/>
  <c r="F15" i="3" s="1"/>
  <c r="E12" i="3"/>
  <c r="F12" i="3" s="1"/>
  <c r="E7" i="3"/>
  <c r="F7" i="3" s="1"/>
  <c r="E3" i="3"/>
  <c r="E5" i="3"/>
  <c r="F5" i="3" s="1"/>
  <c r="E9" i="3"/>
  <c r="F9" i="3" s="1"/>
  <c r="E14" i="3"/>
  <c r="F14" i="3" s="1"/>
  <c r="E4" i="3"/>
  <c r="F4" i="3" s="1"/>
  <c r="E8" i="3"/>
  <c r="F8" i="3" s="1"/>
  <c r="G30" i="3"/>
  <c r="D16" i="4" l="1"/>
  <c r="H10" i="3"/>
  <c r="G8" i="3" l="1"/>
  <c r="G10" i="3"/>
  <c r="H11" i="3"/>
  <c r="H13" i="3"/>
  <c r="G7" i="3"/>
  <c r="G6" i="3"/>
  <c r="G16" i="3"/>
  <c r="G14" i="3"/>
  <c r="G4" i="3"/>
  <c r="G11" i="3"/>
  <c r="G9" i="3"/>
  <c r="G5" i="3"/>
  <c r="G15" i="3"/>
  <c r="G13" i="3"/>
  <c r="G31" i="3"/>
  <c r="G26" i="3"/>
  <c r="G35" i="3"/>
  <c r="G27" i="3"/>
  <c r="G34" i="3"/>
  <c r="G33" i="3"/>
  <c r="G29" i="3"/>
  <c r="G25" i="3"/>
  <c r="G36" i="3"/>
  <c r="G32" i="3"/>
  <c r="G28" i="3"/>
  <c r="G24" i="3"/>
  <c r="G12" i="3"/>
  <c r="H7" i="3"/>
  <c r="H5" i="3"/>
  <c r="H16" i="3"/>
  <c r="H9" i="3"/>
  <c r="H12" i="3"/>
  <c r="H6" i="3"/>
  <c r="H8" i="3"/>
  <c r="H15" i="3"/>
  <c r="H14" i="3"/>
  <c r="H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tc={6A2D614B-E7E6-42EA-9E7C-E8A1B37A7367}</author>
    <author>tc={76F67F9B-D20A-4FBB-AB8F-58A64DA23D52}</author>
  </authors>
  <commentList>
    <comment ref="D60" authorId="0" shapeId="0" xr:uid="{6A2D614B-E7E6-42EA-9E7C-E8A1B37A7367}">
      <text>
        <t>[Threaded comment]
Your version of Excel allows you to read this threaded comment; however, any edits to it will get removed if the file is opened in a newer version of Excel. Learn more: https://go.microsoft.com/fwlink/?linkid=870924
Comment:
    Cuando es la fecha de L5?</t>
      </text>
    </comment>
    <comment ref="D110" authorId="1" shapeId="0" xr:uid="{76F67F9B-D20A-4FBB-AB8F-58A64DA23D52}">
      <text>
        <t>[Threaded comment]
Your version of Excel allows you to read this threaded comment; however, any edits to it will get removed if the file is opened in a newer version of Excel. Learn more: https://go.microsoft.com/fwlink/?linkid=870924
Comment:
    Cuando es la fecha de L5?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<sst xmlns="http://schemas.openxmlformats.org/spreadsheetml/2006/main" count="264" uniqueCount="126">
  <si>
    <t>Meta alcanzada, %</t>
  </si>
  <si>
    <t>Incentivos Financieros, USD M</t>
  </si>
  <si>
    <t>% de Fondo</t>
  </si>
  <si>
    <t>Incentivos Financieros, %</t>
  </si>
  <si>
    <t>Objetivo del IDP, USD M</t>
  </si>
  <si>
    <t>Rango de incentivos a otorgar, %</t>
  </si>
  <si>
    <t>Impacto de la transformación , USD M</t>
  </si>
  <si>
    <t>Rol</t>
  </si>
  <si>
    <t>A</t>
  </si>
  <si>
    <t>B</t>
  </si>
  <si>
    <t>D</t>
  </si>
  <si>
    <t>C</t>
  </si>
  <si>
    <t>Sponsor</t>
  </si>
  <si>
    <t>Dueño de iniciativa</t>
  </si>
  <si>
    <t>-</t>
  </si>
  <si>
    <t>Meta Individual, # de salarios</t>
  </si>
  <si>
    <t>Meta colectiva, # de salarios</t>
  </si>
  <si>
    <t>Tipo de iniciativa</t>
  </si>
  <si>
    <t>Bajo</t>
  </si>
  <si>
    <t>Alto</t>
  </si>
  <si>
    <t>Líder de Frente</t>
  </si>
  <si>
    <t>E</t>
  </si>
  <si>
    <t>Participantes e incentivos</t>
  </si>
  <si>
    <t>*Habilitadoras</t>
  </si>
  <si>
    <t>Fecha límite L4</t>
  </si>
  <si>
    <t>30-junio-2023</t>
  </si>
  <si>
    <t>Pago de L4 en Julio-2023</t>
  </si>
  <si>
    <t>Pago 2 de L4 en Julio-2023</t>
  </si>
  <si>
    <t>Pago 1 de L4 cuando se cumpla L4</t>
  </si>
  <si>
    <t>Si NO se llega a L4 antes de la fecha límite:</t>
  </si>
  <si>
    <t>Pago 1 en L5 (Mes siguiente a L5)</t>
  </si>
  <si>
    <t>Pago 2 en L5 (6 meses después a pago 1)</t>
  </si>
  <si>
    <t>Si se llega a L4 en la fecha límite:</t>
  </si>
  <si>
    <t>Mecánica de pago - Incentivo individual</t>
  </si>
  <si>
    <t>N/A</t>
  </si>
  <si>
    <t>Rango, USD k</t>
  </si>
  <si>
    <t>Fecha de L4</t>
  </si>
  <si>
    <t>Supuesto 1 (1 mes antes)</t>
  </si>
  <si>
    <t>Si se llega a L4 1 mes antes de la fecha límite:</t>
  </si>
  <si>
    <t>Si se llega a L4 2 meses antes de la fecha límite:</t>
  </si>
  <si>
    <t>Si se llega a L4 3 meses antes de la fecha límite:</t>
  </si>
  <si>
    <t>Si se llega a L4 4 meses antes de la fecha límite:</t>
  </si>
  <si>
    <t>Valor alcanzado en L5, %</t>
  </si>
  <si>
    <t>Fecha de L5</t>
  </si>
  <si>
    <t>Valor alcanzado en L5, USD k</t>
  </si>
  <si>
    <t>Incentivo individual restante a pagar en L5, USD</t>
  </si>
  <si>
    <t>Pago 1 del incentivo al cumplimiento de L4, %</t>
  </si>
  <si>
    <t>Pago 2 del incentivo al cumplimiento de L4, %</t>
  </si>
  <si>
    <t>Pago 1 en L5, USD k</t>
  </si>
  <si>
    <t>Pago 1 en L5, fecha</t>
  </si>
  <si>
    <t>Pago 2 en L5, fecha</t>
  </si>
  <si>
    <t>Pago 2 en L5, USD k</t>
  </si>
  <si>
    <t>Incentivo real individual a pagar, USD k</t>
  </si>
  <si>
    <t>CTO</t>
  </si>
  <si>
    <t>Miembro de la TO</t>
  </si>
  <si>
    <t>Clase de iniciativa</t>
  </si>
  <si>
    <t>Supuesto 2 (2 meses antes)</t>
  </si>
  <si>
    <t>Supuesto 3 (3 meses antes)</t>
  </si>
  <si>
    <t>Supuesto 4 (4 meses antes)</t>
  </si>
  <si>
    <t>Fecha de pago 1 del incentivo al cumplimiento de L4</t>
  </si>
  <si>
    <t>Fecha de pago 2 del incentivo al cumplimiento de L4</t>
  </si>
  <si>
    <t>Incentivo individual real a pagar, # salarios</t>
  </si>
  <si>
    <t>Note: Valor del plan bancable</t>
  </si>
  <si>
    <t>Mecanica de Pago - Incentivo individual propuesta JS</t>
  </si>
  <si>
    <t>Si se llega a L4 antes de la fecha límite:</t>
  </si>
  <si>
    <t>Supuesto 1 (Antes de L4)</t>
  </si>
  <si>
    <t>Incentivos Colectivos</t>
  </si>
  <si>
    <t>Se llega a L4 luego de la fecha límite:</t>
  </si>
  <si>
    <t>Mecánica de pago - Incentivo colectivo - JS de acuerdo</t>
  </si>
  <si>
    <t>Nota Juan Sebastian:</t>
  </si>
  <si>
    <t xml:space="preserve">1. De acuerdo con el plan de pagos de modo colectivo </t>
  </si>
  <si>
    <t>2. Los pagos en L4 (Julio 2023) deberian venir con el rol de ese mes a final del mes no a mediados de mes</t>
  </si>
  <si>
    <t>3. Hay que ser bien claros cuando seria L5, ya que la fecha de L5 esta atada a terminar primero L4, en especial en caso de no llegar a L4 antes de fecha limite</t>
  </si>
  <si>
    <t>Pago en L5 (Mes siguiente a L5)</t>
  </si>
  <si>
    <t>4. El pago en L5 seria el mes siguiente de L5. Es decir, si se llega a L5 en Agosto 2023, el pago seria en el rol de Septiembre 2023</t>
  </si>
  <si>
    <t>Nota de Juan Sebastian:</t>
  </si>
  <si>
    <r>
      <rPr>
        <b/>
        <sz val="11"/>
        <color theme="1"/>
        <rFont val="Arial"/>
        <family val="2"/>
        <scheme val="minor"/>
      </rPr>
      <t xml:space="preserve">A. </t>
    </r>
    <r>
      <rPr>
        <sz val="11"/>
        <color theme="1"/>
        <rFont val="Arial"/>
        <family val="2"/>
        <scheme val="minor"/>
      </rPr>
      <t xml:space="preserve">Llegar en el mes de la fecha limite, es decir junio 2023. En este caso al final del mes de julio 2023, en el rol, se pagaria el 50% del incentivo. Y el restant 50% dividido en dos pagos: </t>
    </r>
    <r>
      <rPr>
        <b/>
        <sz val="11"/>
        <color theme="1"/>
        <rFont val="Arial"/>
        <family val="2"/>
        <scheme val="minor"/>
      </rPr>
      <t>1.</t>
    </r>
    <r>
      <rPr>
        <sz val="11"/>
        <color theme="1"/>
        <rFont val="Arial"/>
        <family val="2"/>
        <scheme val="minor"/>
      </rPr>
      <t xml:space="preserve"> 25% mes siguiente a L5 y </t>
    </r>
    <r>
      <rPr>
        <b/>
        <sz val="11"/>
        <color theme="1"/>
        <rFont val="Arial"/>
        <family val="2"/>
        <scheme val="minor"/>
      </rPr>
      <t>2</t>
    </r>
    <r>
      <rPr>
        <sz val="11"/>
        <color theme="1"/>
        <rFont val="Arial"/>
        <family val="2"/>
        <scheme val="minor"/>
      </rPr>
      <t>. 25% seis meses luego de L5</t>
    </r>
  </si>
  <si>
    <r>
      <rPr>
        <b/>
        <sz val="11"/>
        <color theme="1"/>
        <rFont val="Arial"/>
        <family val="2"/>
        <scheme val="minor"/>
      </rPr>
      <t xml:space="preserve">B. </t>
    </r>
    <r>
      <rPr>
        <sz val="11"/>
        <color theme="1"/>
        <rFont val="Arial"/>
        <family val="2"/>
        <scheme val="minor"/>
      </rPr>
      <t xml:space="preserve">Llegar a L4 antes de la fecha limite, es decir  meses previos a Junio 2023. En este caso se pagaria </t>
    </r>
    <r>
      <rPr>
        <b/>
        <sz val="11"/>
        <color theme="1"/>
        <rFont val="Arial"/>
        <family val="2"/>
        <scheme val="minor"/>
      </rPr>
      <t>1.</t>
    </r>
    <r>
      <rPr>
        <sz val="11"/>
        <color theme="1"/>
        <rFont val="Arial"/>
        <family val="2"/>
        <scheme val="minor"/>
      </rPr>
      <t xml:space="preserve"> 10% del valor del incentivo en el mes que se cumpla L4, </t>
    </r>
    <r>
      <rPr>
        <b/>
        <sz val="11"/>
        <color theme="1"/>
        <rFont val="Arial"/>
        <family val="2"/>
        <scheme val="minor"/>
      </rPr>
      <t xml:space="preserve">2. </t>
    </r>
    <r>
      <rPr>
        <sz val="11"/>
        <color theme="1"/>
        <rFont val="Arial"/>
        <family val="2"/>
        <scheme val="minor"/>
      </rPr>
      <t xml:space="preserve">40% en Julio 2023, </t>
    </r>
    <r>
      <rPr>
        <b/>
        <sz val="11"/>
        <color theme="1"/>
        <rFont val="Arial"/>
        <family val="2"/>
        <scheme val="minor"/>
      </rPr>
      <t xml:space="preserve">3. </t>
    </r>
    <r>
      <rPr>
        <sz val="11"/>
        <color theme="1"/>
        <rFont val="Arial"/>
        <family val="2"/>
        <scheme val="minor"/>
      </rPr>
      <t xml:space="preserve">25% mes siguiente a L5 y </t>
    </r>
    <r>
      <rPr>
        <b/>
        <sz val="11"/>
        <color theme="1"/>
        <rFont val="Arial"/>
        <family val="2"/>
        <scheme val="minor"/>
      </rPr>
      <t>4</t>
    </r>
    <r>
      <rPr>
        <sz val="11"/>
        <color theme="1"/>
        <rFont val="Arial"/>
        <family val="2"/>
        <scheme val="minor"/>
      </rPr>
      <t>. 25% seis meses luego de L5</t>
    </r>
  </si>
  <si>
    <r>
      <rPr>
        <b/>
        <sz val="11"/>
        <color theme="1"/>
        <rFont val="Arial"/>
        <family val="2"/>
        <scheme val="minor"/>
      </rPr>
      <t xml:space="preserve">C. </t>
    </r>
    <r>
      <rPr>
        <sz val="11"/>
        <color theme="1"/>
        <rFont val="Arial"/>
        <family val="2"/>
        <scheme val="minor"/>
      </rPr>
      <t xml:space="preserve">Llegar a L4 despues de la fecha limite (30 jun 2023), es decir meses previos a Junio 2023. En este caso se pagaria </t>
    </r>
    <r>
      <rPr>
        <b/>
        <sz val="11"/>
        <color theme="1"/>
        <rFont val="Arial"/>
        <family val="2"/>
        <scheme val="minor"/>
      </rPr>
      <t>1.</t>
    </r>
    <r>
      <rPr>
        <sz val="11"/>
        <color theme="1"/>
        <rFont val="Arial"/>
        <family val="2"/>
        <scheme val="minor"/>
      </rPr>
      <t xml:space="preserve"> 50% mes siguiente a L5, </t>
    </r>
    <r>
      <rPr>
        <b/>
        <sz val="11"/>
        <color theme="1"/>
        <rFont val="Arial"/>
        <family val="2"/>
        <scheme val="minor"/>
      </rPr>
      <t xml:space="preserve">2. </t>
    </r>
    <r>
      <rPr>
        <sz val="11"/>
        <color theme="1"/>
        <rFont val="Arial"/>
        <family val="2"/>
        <scheme val="minor"/>
      </rPr>
      <t>50% seis meses luego de L5</t>
    </r>
  </si>
  <si>
    <t xml:space="preserve">Me parece que la opcion propuesta anteriormente dificultara la facilidad de comunicar el plan y la conveniencia de pagarlo a las personas encargadas en RRHH, al tener que estar pendiente de cuanto toca pagar del bono, la fecha que tocaria pagarlo todo esto dependiendo de cuando se completo. En el nuevo caso solo presento 3 variables, si se completa antes de Junio, durante Junio, o luego de junio. Pienso que pagar el 10% del bono total con anticipacion si se completa antes de Junio es la media baja de la opcion anterior de estar entre 5% y 20%.  </t>
  </si>
  <si>
    <t>Otro tema que no se ha considerado seria la parte impositiva. Eso habria que revisar mas en detalle</t>
  </si>
  <si>
    <t xml:space="preserve">1. Propongo un cambio en base a lo conversado con Ger y Carlos el Jueves 23. En aras de hacer el plan de pagos mas sencillo propongo solo 3 diferentes variantes (ver cuadros a la izquierda): </t>
  </si>
  <si>
    <t>Incentivos+Impuestos</t>
  </si>
  <si>
    <t>Incentivos + impuestos, %</t>
  </si>
  <si>
    <t>Unidad de medida</t>
  </si>
  <si>
    <t xml:space="preserve">Propuesta 2.0 </t>
  </si>
  <si>
    <t xml:space="preserve">Meta alcanzada </t>
  </si>
  <si>
    <t xml:space="preserve">Version 2.0 </t>
  </si>
  <si>
    <t xml:space="preserve"> </t>
  </si>
  <si>
    <t>Tipo de Iniciativa</t>
  </si>
  <si>
    <t>Monto de pago #1</t>
  </si>
  <si>
    <t xml:space="preserve">Monto de pago #2 </t>
  </si>
  <si>
    <t>Monto de pago #3</t>
  </si>
  <si>
    <t>Monto de Pago #4</t>
  </si>
  <si>
    <t>Incentivo colectivo a recibir</t>
  </si>
  <si>
    <t>Incentivo individual a recibir</t>
  </si>
  <si>
    <t xml:space="preserve">Incentivo Total </t>
  </si>
  <si>
    <t>Salario mensual</t>
  </si>
  <si>
    <t>Monto de incentivo individual a recibir</t>
  </si>
  <si>
    <t>Monto de incentivo colectivo a recibir</t>
  </si>
  <si>
    <t>Monto total del incentivo</t>
  </si>
  <si>
    <t>Pago 1 del incentivo al cumplimiento de L4, $</t>
  </si>
  <si>
    <t>Pago 2 del incentivo al cumplimiento de L4, $</t>
  </si>
  <si>
    <t>Incentivos Individuales</t>
  </si>
  <si>
    <t xml:space="preserve">Supuesto 2 </t>
  </si>
  <si>
    <t>Necesita ser al final del mes que ocurre</t>
  </si>
  <si>
    <t xml:space="preserve">Impacto de iniciativa </t>
  </si>
  <si>
    <t># de salarios a recibir por Incentivo individual</t>
  </si>
  <si>
    <t># de salarios a recibir por Incentivo colectivo</t>
  </si>
  <si>
    <t>$ por incentivo individual</t>
  </si>
  <si>
    <t>$ por incentivo colectivo</t>
  </si>
  <si>
    <t>Valor total del incentivo de Cumbre</t>
  </si>
  <si>
    <t>Lista de Roles</t>
  </si>
  <si>
    <t>% de cumplimiento del impacto del frente</t>
  </si>
  <si>
    <t>% de cumplimiento del impacto de Cumbre</t>
  </si>
  <si>
    <t>Indicaciones de como llenar calculadora</t>
  </si>
  <si>
    <t xml:space="preserve">       </t>
  </si>
  <si>
    <t>Impacto real alcanzado en la iniciativa, $</t>
  </si>
  <si>
    <t>Impacto real alcanzado en la iniciativa, %</t>
  </si>
  <si>
    <t>El incentivo individual de sponsors y lideres de frente esta basado en el % de cumplimiento del frente. El incentivo individual de CTO y miembros de TO esta basado en el % de cumplimiento de Cumbre</t>
  </si>
  <si>
    <t>El incentivo individual de lideres de iniciativa esta relacionado al % de impacto alanzado de la iniciativa, y el incentivo colectivo esta relacionado al % de impacto alcanzado del frente</t>
  </si>
  <si>
    <t xml:space="preserve">CALCULADORA DE INCENTIVOS </t>
  </si>
  <si>
    <t xml:space="preserve">El calculo del numero de salarios se hace en funcion al % de cumplimiento alcanzado. Este % esta considerado por rangos. Ejemplo: Si se da un cumplimiento de 117% eso activaria el # de salarios a recibir por cumplimiento de 110%. Para alcanzar el siguiente rango (130%) se tiene que alcanzar al menos 130% .  </t>
  </si>
  <si>
    <t xml:space="preserve">Si se alcanza mas del 150% de cumplmiento de la iniciativa, frente, o cumbre, el # de salarios maximo a pagar es el que refleja segun el rol. Si no se alcanza un minimo de 70%, no se paga incentivos. </t>
  </si>
  <si>
    <t>1. Ingresar su salario mensual en campo amarillo</t>
  </si>
  <si>
    <t>2. Ingresar el % de cumplimiento de Cumbre usando la flecha en campo amarillo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</si>
</sst>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0.0%"/>
    <numFmt numFmtId="165" formatCode="0.0"/>
    <numFmt numFmtId="166" formatCode="_ * #,##0.00_ ;_ * \-#,##0.00_ ;_ * &quot;-&quot;??_ ;_ @_ "/>
    <numFmt numFmtId="167" formatCode="_(&quot;$&quot;* #,##0_);_(&quot;$&quot;* \(#,##0\);_(&quot;$&quot;* &quot;-&quot;??_);_(@_)"/>
    <numFmt numFmtId="168" formatCode="_(&quot;$&quot;* #,##0.00000000_);_(&quot;$&quot;* \(#,##0.00000000\);_(&quot;$&quot;* &quot;-&quot;??_);_(@_)"/>
  </numFmts>
  <fonts count="27" x14ac:knownFonts="1">
    <font>
      <sz val="11"/>
      <color theme="1"/>
      <name val="Arial"/>
      <family val="2"/>
      <scheme val="minor"/>
    </font>
    <font>
      <sz val="11"/>
      <color theme="1"/>
      <name val="Arial"/>
      <family val="2"/>
      <scheme val="minor"/>
    </font>
    <font>
      <b/>
      <sz val="11"/>
      <color rgb="FF3F3F3F"/>
      <name val="Arial"/>
      <family val="2"/>
      <scheme val="minor"/>
    </font>
    <font>
      <b/>
      <sz val="11"/>
      <name val="Arial"/>
      <family val="2"/>
      <scheme val="minor"/>
    </font>
    <font>
      <sz val="11"/>
      <color rgb="FF3F3F76"/>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3"/>
      <name val="Arial"/>
      <family val="2"/>
      <scheme val="minor"/>
    </font>
    <font>
      <sz val="11"/>
      <color rgb="FFC00000"/>
      <name val="Arial"/>
      <family val="2"/>
      <scheme val="minor"/>
    </font>
    <font>
      <sz val="11"/>
      <name val="Arial"/>
      <family val="2"/>
      <scheme val="minor"/>
    </font>
    <font>
      <u/>
      <sz val="11"/>
      <color theme="6"/>
      <name val="Arial"/>
      <family val="2"/>
      <scheme val="minor"/>
    </font>
    <font>
      <b/>
      <sz val="22"/>
      <name val="Georgia"/>
      <family val="2"/>
      <scheme val="major"/>
    </font>
    <font>
      <sz val="11"/>
      <color theme="3"/>
      <name val="Arial"/>
      <family val="2"/>
      <scheme val="minor"/>
    </font>
    <font>
      <sz val="11"/>
      <color rgb="FF0000FF"/>
      <name val="Arial"/>
      <family val="2"/>
      <scheme val="minor"/>
    </font>
    <font>
      <sz val="11"/>
      <color theme="1" tint="0.34998626667073579"/>
      <name val="Arial"/>
      <family val="2"/>
      <scheme val="minor"/>
    </font>
    <font>
      <sz val="11"/>
      <color theme="0"/>
      <name val="Arial"/>
      <family val="2"/>
      <scheme val="minor"/>
    </font>
    <font>
      <b/>
      <sz val="11"/>
      <color theme="1"/>
      <name val="Arial"/>
      <family val="2"/>
      <scheme val="minor"/>
    </font>
    <font>
      <sz val="11"/>
      <color theme="6"/>
      <name val="Arial"/>
      <family val="2"/>
      <scheme val="minor"/>
    </font>
    <font>
      <sz val="10"/>
      <name val="Arial"/>
      <family val="2"/>
    </font>
    <font>
      <i/>
      <sz val="11"/>
      <color theme="1"/>
      <name val="Arial"/>
      <family val="2"/>
      <scheme val="minor"/>
    </font>
    <font>
      <b/>
      <sz val="12"/>
      <color theme="0"/>
      <name val="Arial"/>
      <family val="2"/>
      <scheme val="minor"/>
    </font>
    <font>
      <sz val="5"/>
      <color theme="1"/>
      <name val="Arial"/>
      <family val="2"/>
      <scheme val="minor"/>
    </font>
    <font>
      <i/>
      <sz val="6"/>
      <color theme="1"/>
      <name val="Arial"/>
      <family val="2"/>
      <scheme val="minor"/>
    </font>
    <font>
      <b/>
      <sz val="14"/>
      <color theme="9" tint="-0.749992370372631"/>
      <name val="Arial"/>
      <family val="2"/>
      <scheme val="minor"/>
    </font>
  </fonts>
  <fills count="2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rgb="FFE6E6E6"/>
        <bgColor indexed="64"/>
      </patternFill>
    </fill>
    <fill>
      <patternFill patternType="solid">
        <fgColor theme="7"/>
        <bgColor indexed="64"/>
      </patternFill>
    </fill>
    <fill>
      <patternFill patternType="solid">
        <fgColor theme="6"/>
        <bgColor indexed="64"/>
      </patternFill>
    </fill>
    <fill>
      <patternFill patternType="solid">
        <fgColor theme="7"/>
      </patternFill>
    </fill>
    <fill>
      <patternFill patternType="solid">
        <fgColor theme="9"/>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FFCC"/>
        <bgColor indexed="64"/>
      </patternFill>
    </fill>
    <fill>
      <patternFill patternType="solid">
        <fgColor rgb="FFFFFF00"/>
        <bgColor indexed="64"/>
      </patternFill>
    </fill>
    <fill>
      <patternFill patternType="solid">
        <fgColor theme="4" tint="0.89999084444715716"/>
        <bgColor indexed="64"/>
      </patternFill>
    </fill>
    <fill>
      <patternFill patternType="solid">
        <fgColor theme="6" tint="0.79998168889431442"/>
        <bgColor indexed="64"/>
      </patternFill>
    </fill>
    <fill>
      <patternFill patternType="solid">
        <fgColor rgb="FF0808A0"/>
        <bgColor indexed="64"/>
      </patternFill>
    </fill>
  </fills>
  <borders count="41">
    <border>
      <left/>
      <right/>
      <top/>
      <bottom/>
      <diagonal/>
    </border>
    <border>
      <left/>
      <right/>
      <top style="hair">
        <color rgb="FF3F3F3F"/>
      </top>
      <bottom style="hair">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7F7F7F"/>
      </bottom>
      <diagonal/>
    </border>
    <border>
      <left/>
      <right/>
      <top style="thick">
        <color rgb="FF4D4D4D"/>
      </top>
      <bottom style="thick">
        <color rgb="FF4D4D4D"/>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29">
    <xf numFmtId="0" fontId="0" fillId="0" borderId="0"/>
    <xf numFmtId="0" fontId="15" fillId="11" borderId="0" applyNumberFormat="0" applyAlignment="0" applyProtection="0">
      <alignment vertical="center"/>
    </xf>
    <xf numFmtId="0" fontId="10" fillId="0" borderId="0" applyNumberFormat="0" applyAlignment="0" applyProtection="0"/>
    <xf numFmtId="0" fontId="3" fillId="0" borderId="6" applyNumberFormat="0" applyAlignment="0" applyProtection="0"/>
    <xf numFmtId="0" fontId="7" fillId="8" borderId="0" applyNumberFormat="0" applyAlignment="0" applyProtection="0">
      <alignment vertical="center"/>
    </xf>
    <xf numFmtId="0" fontId="2" fillId="2" borderId="1" applyNumberFormat="0" applyProtection="0">
      <alignment vertical="center"/>
    </xf>
    <xf numFmtId="0" fontId="16" fillId="0" borderId="0" applyNumberFormat="0" applyAlignment="0" applyProtection="0">
      <alignment vertical="center"/>
    </xf>
    <xf numFmtId="0" fontId="1" fillId="10" borderId="0" applyNumberFormat="0" applyAlignment="0" applyProtection="0">
      <alignment vertical="center"/>
    </xf>
    <xf numFmtId="0" fontId="11" fillId="3" borderId="0" applyNumberFormat="0" applyBorder="0" applyAlignment="0" applyProtection="0"/>
    <xf numFmtId="0" fontId="4" fillId="4" borderId="2" applyNumberFormat="0" applyAlignment="0" applyProtection="0"/>
    <xf numFmtId="0" fontId="5" fillId="5" borderId="2" applyNumberFormat="0" applyAlignment="0" applyProtection="0"/>
    <xf numFmtId="0" fontId="6" fillId="0" borderId="3" applyNumberFormat="0" applyFill="0" applyAlignment="0" applyProtection="0"/>
    <xf numFmtId="0" fontId="7" fillId="6" borderId="4" applyNumberFormat="0" applyAlignment="0" applyProtection="0"/>
    <xf numFmtId="0" fontId="8" fillId="0" borderId="0" applyNumberFormat="0" applyFill="0" applyBorder="0" applyAlignment="0" applyProtection="0"/>
    <xf numFmtId="0" fontId="1" fillId="7" borderId="5" applyNumberFormat="0" applyFont="0" applyAlignment="0" applyProtection="0"/>
    <xf numFmtId="0" fontId="9" fillId="0" borderId="0" applyNumberFormat="0" applyFill="0" applyBorder="0" applyAlignment="0" applyProtection="0"/>
    <xf numFmtId="0" fontId="14" fillId="0" borderId="0" applyNumberFormat="0" applyAlignment="0" applyProtection="0"/>
    <xf numFmtId="0" fontId="3" fillId="9" borderId="0" applyNumberFormat="0" applyAlignment="0" applyProtection="0">
      <alignment vertical="center"/>
    </xf>
    <xf numFmtId="0" fontId="3" fillId="0" borderId="7" applyNumberFormat="0" applyAlignment="0" applyProtection="0"/>
    <xf numFmtId="0" fontId="12" fillId="0" borderId="0" applyNumberFormat="0" applyAlignment="0" applyProtection="0">
      <alignment vertical="center"/>
    </xf>
    <xf numFmtId="0" fontId="13" fillId="0" borderId="0" applyNumberFormat="0" applyAlignment="0" applyProtection="0">
      <alignment vertical="center"/>
    </xf>
    <xf numFmtId="0" fontId="8" fillId="0" borderId="0" applyNumberFormat="0" applyAlignment="0" applyProtection="0">
      <alignment vertical="center"/>
    </xf>
    <xf numFmtId="0" fontId="17" fillId="0" borderId="0" applyNumberFormat="0" applyAlignment="0" applyProtection="0">
      <alignment vertical="center"/>
    </xf>
    <xf numFmtId="0" fontId="12" fillId="12" borderId="0" applyNumberFormat="0" applyBorder="0" applyAlignment="0" applyProtection="0"/>
    <xf numFmtId="0" fontId="12" fillId="13"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xf numFmtId="166" fontId="21" fillId="0" borderId="0" applyFont="0" applyFill="0" applyBorder="0" applyAlignment="0" applyProtection="0"/>
  </cellStyleXfs>
  <cellXfs count="155">
    <xf numFmtId="0" fontId="0" fillId="0" borderId="0" xfId="0"/>
    <xf numFmtId="0" fontId="0" fillId="14" borderId="0" xfId="0" applyFill="1"/>
    <xf numFmtId="0" fontId="0" fillId="14" borderId="8" xfId="0" applyFill="1" applyBorder="1"/>
    <xf numFmtId="0" fontId="19" fillId="14" borderId="8" xfId="0" applyFont="1" applyFill="1" applyBorder="1"/>
    <xf numFmtId="9" fontId="0" fillId="14" borderId="0" xfId="26" applyFont="1" applyFill="1"/>
    <xf numFmtId="9" fontId="0" fillId="14" borderId="8" xfId="26" applyFont="1" applyFill="1" applyBorder="1"/>
    <xf numFmtId="2" fontId="18" fillId="15" borderId="0" xfId="0" applyNumberFormat="1" applyFont="1" applyFill="1" applyAlignment="1">
      <alignment horizontal="right"/>
    </xf>
    <xf numFmtId="0" fontId="0" fillId="14" borderId="10" xfId="0" applyFill="1" applyBorder="1"/>
    <xf numFmtId="0" fontId="18" fillId="15" borderId="12" xfId="0" applyFont="1" applyFill="1" applyBorder="1"/>
    <xf numFmtId="9" fontId="18" fillId="15" borderId="13" xfId="0" applyNumberFormat="1" applyFont="1" applyFill="1" applyBorder="1"/>
    <xf numFmtId="9" fontId="18" fillId="15" borderId="9" xfId="26" applyFont="1" applyFill="1" applyBorder="1"/>
    <xf numFmtId="0" fontId="7" fillId="15" borderId="11" xfId="0" applyFont="1" applyFill="1" applyBorder="1"/>
    <xf numFmtId="44" fontId="0" fillId="14" borderId="8" xfId="25" applyFont="1" applyFill="1" applyBorder="1"/>
    <xf numFmtId="0" fontId="7" fillId="16" borderId="8" xfId="0" applyFont="1" applyFill="1" applyBorder="1"/>
    <xf numFmtId="9" fontId="0" fillId="17" borderId="8" xfId="26" applyFont="1" applyFill="1" applyBorder="1"/>
    <xf numFmtId="0" fontId="0" fillId="17" borderId="8" xfId="0" applyFill="1" applyBorder="1"/>
    <xf numFmtId="164" fontId="0" fillId="14" borderId="0" xfId="26" applyNumberFormat="1" applyFont="1" applyFill="1"/>
    <xf numFmtId="164" fontId="7" fillId="16" borderId="8" xfId="26" applyNumberFormat="1" applyFont="1" applyFill="1" applyBorder="1"/>
    <xf numFmtId="164" fontId="0" fillId="14" borderId="8" xfId="26" applyNumberFormat="1" applyFont="1" applyFill="1" applyBorder="1"/>
    <xf numFmtId="164" fontId="0" fillId="14" borderId="0" xfId="0" applyNumberFormat="1" applyFill="1"/>
    <xf numFmtId="0" fontId="7" fillId="15" borderId="10" xfId="0" applyFont="1" applyFill="1" applyBorder="1"/>
    <xf numFmtId="9" fontId="0" fillId="14" borderId="0" xfId="26" applyNumberFormat="1" applyFont="1" applyFill="1"/>
    <xf numFmtId="0" fontId="19" fillId="14" borderId="8" xfId="0" applyFont="1" applyFill="1" applyBorder="1" applyAlignment="1">
      <alignment horizontal="center"/>
    </xf>
    <xf numFmtId="0" fontId="0" fillId="14" borderId="8" xfId="0" applyFill="1" applyBorder="1" applyAlignment="1">
      <alignment horizontal="center"/>
    </xf>
    <xf numFmtId="0" fontId="0" fillId="14" borderId="0" xfId="0" applyFill="1" applyAlignment="1">
      <alignment horizontal="center"/>
    </xf>
    <xf numFmtId="0" fontId="0" fillId="14" borderId="14" xfId="0" applyFont="1" applyFill="1" applyBorder="1"/>
    <xf numFmtId="0" fontId="19" fillId="14" borderId="14" xfId="0" applyFont="1" applyFill="1" applyBorder="1" applyAlignment="1">
      <alignment horizontal="center"/>
    </xf>
    <xf numFmtId="0" fontId="0" fillId="14" borderId="14" xfId="0" applyFill="1" applyBorder="1"/>
    <xf numFmtId="0" fontId="19" fillId="14" borderId="21" xfId="0" applyFont="1" applyFill="1" applyBorder="1"/>
    <xf numFmtId="0" fontId="19" fillId="14" borderId="22" xfId="0" applyFont="1" applyFill="1" applyBorder="1" applyAlignment="1">
      <alignment horizontal="center"/>
    </xf>
    <xf numFmtId="9" fontId="0" fillId="14" borderId="22" xfId="26" applyFont="1" applyFill="1" applyBorder="1"/>
    <xf numFmtId="9" fontId="0" fillId="14" borderId="23" xfId="26" applyFont="1" applyFill="1" applyBorder="1"/>
    <xf numFmtId="165" fontId="0" fillId="14" borderId="14" xfId="0" applyNumberFormat="1" applyFill="1" applyBorder="1"/>
    <xf numFmtId="0" fontId="0" fillId="17" borderId="14" xfId="0" applyFill="1" applyBorder="1"/>
    <xf numFmtId="9" fontId="0" fillId="14" borderId="24" xfId="26" applyFont="1" applyFill="1" applyBorder="1"/>
    <xf numFmtId="9" fontId="0" fillId="14" borderId="25" xfId="26" applyFont="1" applyFill="1" applyBorder="1"/>
    <xf numFmtId="9" fontId="0" fillId="14" borderId="26" xfId="26" applyFont="1" applyFill="1" applyBorder="1"/>
    <xf numFmtId="0" fontId="19" fillId="14" borderId="27" xfId="0" applyFont="1" applyFill="1" applyBorder="1" applyAlignment="1">
      <alignment horizontal="center"/>
    </xf>
    <xf numFmtId="0" fontId="0" fillId="14" borderId="21" xfId="0" applyFill="1" applyBorder="1" applyAlignment="1">
      <alignment horizontal="center"/>
    </xf>
    <xf numFmtId="0" fontId="0" fillId="14" borderId="23" xfId="0" applyFill="1" applyBorder="1" applyAlignment="1">
      <alignment horizontal="center"/>
    </xf>
    <xf numFmtId="0" fontId="7" fillId="16" borderId="0" xfId="0" applyFont="1" applyFill="1"/>
    <xf numFmtId="0" fontId="18" fillId="16" borderId="0" xfId="0" applyFont="1" applyFill="1"/>
    <xf numFmtId="0" fontId="18" fillId="16" borderId="0" xfId="0" applyFont="1" applyFill="1" applyAlignment="1">
      <alignment horizontal="center"/>
    </xf>
    <xf numFmtId="0" fontId="19" fillId="14" borderId="28" xfId="0" applyFont="1" applyFill="1" applyBorder="1"/>
    <xf numFmtId="0" fontId="0" fillId="14" borderId="8" xfId="0" applyFill="1" applyBorder="1" applyAlignment="1">
      <alignment horizontal="left"/>
    </xf>
    <xf numFmtId="9" fontId="0" fillId="14" borderId="8" xfId="0" applyNumberFormat="1" applyFill="1" applyBorder="1" applyAlignment="1">
      <alignment horizontal="center"/>
    </xf>
    <xf numFmtId="0" fontId="20" fillId="14" borderId="0" xfId="0" applyFont="1" applyFill="1"/>
    <xf numFmtId="14" fontId="0" fillId="14" borderId="0" xfId="0" applyNumberFormat="1" applyFill="1"/>
    <xf numFmtId="14" fontId="0" fillId="14" borderId="8" xfId="0" applyNumberFormat="1" applyFill="1" applyBorder="1" applyAlignment="1">
      <alignment horizontal="center"/>
    </xf>
    <xf numFmtId="0" fontId="0" fillId="14" borderId="0" xfId="0" applyFill="1" applyBorder="1"/>
    <xf numFmtId="9" fontId="0" fillId="14" borderId="0" xfId="0" applyNumberFormat="1" applyFill="1" applyBorder="1" applyAlignment="1">
      <alignment horizontal="center"/>
    </xf>
    <xf numFmtId="44" fontId="0" fillId="14" borderId="8" xfId="25" applyFont="1" applyFill="1" applyBorder="1" applyAlignment="1">
      <alignment horizontal="center"/>
    </xf>
    <xf numFmtId="0" fontId="19" fillId="14" borderId="0" xfId="0" applyFont="1" applyFill="1" applyBorder="1" applyAlignment="1">
      <alignment horizontal="center"/>
    </xf>
    <xf numFmtId="165" fontId="0" fillId="14" borderId="0" xfId="0" applyNumberFormat="1" applyFill="1" applyBorder="1"/>
    <xf numFmtId="0" fontId="12" fillId="14" borderId="0" xfId="0" applyFont="1" applyFill="1"/>
    <xf numFmtId="0" fontId="0" fillId="20" borderId="0" xfId="0" applyFill="1"/>
    <xf numFmtId="9" fontId="0" fillId="14" borderId="8" xfId="0" applyNumberFormat="1" applyFill="1" applyBorder="1"/>
    <xf numFmtId="0" fontId="7" fillId="14" borderId="0" xfId="0" applyFont="1" applyFill="1"/>
    <xf numFmtId="0" fontId="0" fillId="18" borderId="0" xfId="0" applyFill="1"/>
    <xf numFmtId="0" fontId="0" fillId="19" borderId="0" xfId="0" applyFill="1"/>
    <xf numFmtId="0" fontId="19" fillId="19" borderId="0" xfId="0" applyFont="1" applyFill="1"/>
    <xf numFmtId="0" fontId="18" fillId="18" borderId="0" xfId="0" applyFont="1" applyFill="1"/>
    <xf numFmtId="0" fontId="18" fillId="18" borderId="0" xfId="0" applyFont="1" applyFill="1" applyAlignment="1">
      <alignment horizontal="center"/>
    </xf>
    <xf numFmtId="0" fontId="0" fillId="19" borderId="0" xfId="0" applyFill="1" applyAlignment="1">
      <alignment vertical="top" wrapText="1"/>
    </xf>
    <xf numFmtId="0" fontId="7" fillId="18" borderId="0" xfId="0" applyFont="1" applyFill="1"/>
    <xf numFmtId="0" fontId="0" fillId="19" borderId="0" xfId="0" applyFill="1" applyAlignment="1">
      <alignment wrapText="1"/>
    </xf>
    <xf numFmtId="10" fontId="0" fillId="14" borderId="8" xfId="26" applyNumberFormat="1" applyFont="1" applyFill="1" applyBorder="1"/>
    <xf numFmtId="10" fontId="0" fillId="17" borderId="8" xfId="26" applyNumberFormat="1" applyFont="1" applyFill="1" applyBorder="1"/>
    <xf numFmtId="44" fontId="0" fillId="17" borderId="8" xfId="25" applyNumberFormat="1" applyFont="1" applyFill="1" applyBorder="1"/>
    <xf numFmtId="9" fontId="0" fillId="14" borderId="0" xfId="26" applyFont="1" applyFill="1" applyBorder="1"/>
    <xf numFmtId="164" fontId="0" fillId="14" borderId="0" xfId="26" applyNumberFormat="1" applyFont="1" applyFill="1" applyBorder="1"/>
    <xf numFmtId="10" fontId="0" fillId="14" borderId="0" xfId="26" applyNumberFormat="1" applyFont="1" applyFill="1" applyBorder="1"/>
    <xf numFmtId="44" fontId="0" fillId="14" borderId="8" xfId="25" applyNumberFormat="1" applyFont="1" applyFill="1" applyBorder="1"/>
    <xf numFmtId="10" fontId="0" fillId="14" borderId="8" xfId="0" applyNumberFormat="1" applyFill="1" applyBorder="1"/>
    <xf numFmtId="0" fontId="22" fillId="14" borderId="0" xfId="0" applyFont="1" applyFill="1"/>
    <xf numFmtId="44" fontId="0" fillId="21" borderId="8" xfId="25" applyFont="1" applyFill="1" applyBorder="1"/>
    <xf numFmtId="164" fontId="7" fillId="14" borderId="0" xfId="26" applyNumberFormat="1" applyFont="1" applyFill="1" applyBorder="1"/>
    <xf numFmtId="10" fontId="0" fillId="14" borderId="0" xfId="0" applyNumberFormat="1" applyFill="1" applyBorder="1"/>
    <xf numFmtId="0" fontId="19" fillId="22" borderId="0" xfId="0" applyFont="1" applyFill="1"/>
    <xf numFmtId="9" fontId="0" fillId="22" borderId="22" xfId="26" applyFont="1" applyFill="1" applyBorder="1"/>
    <xf numFmtId="0" fontId="0" fillId="22" borderId="14" xfId="0" applyFill="1" applyBorder="1"/>
    <xf numFmtId="0" fontId="0" fillId="22" borderId="8" xfId="0" applyFill="1" applyBorder="1"/>
    <xf numFmtId="9" fontId="0" fillId="22" borderId="25" xfId="26" applyFont="1" applyFill="1" applyBorder="1"/>
    <xf numFmtId="0" fontId="3" fillId="22" borderId="8" xfId="0" applyFont="1" applyFill="1" applyBorder="1"/>
    <xf numFmtId="164" fontId="3" fillId="22" borderId="8" xfId="26" applyNumberFormat="1" applyFont="1" applyFill="1" applyBorder="1"/>
    <xf numFmtId="9" fontId="0" fillId="22" borderId="8" xfId="26" applyFont="1" applyFill="1" applyBorder="1"/>
    <xf numFmtId="44" fontId="0" fillId="22" borderId="8" xfId="25" applyFont="1" applyFill="1" applyBorder="1"/>
    <xf numFmtId="10" fontId="0" fillId="22" borderId="8" xfId="26" applyNumberFormat="1" applyFont="1" applyFill="1" applyBorder="1"/>
    <xf numFmtId="44" fontId="0" fillId="22" borderId="8" xfId="25" applyNumberFormat="1" applyFont="1" applyFill="1" applyBorder="1"/>
    <xf numFmtId="168" fontId="0" fillId="14" borderId="0" xfId="0" applyNumberFormat="1" applyFill="1"/>
    <xf numFmtId="14" fontId="0" fillId="14" borderId="0" xfId="0" applyNumberFormat="1" applyFill="1" applyAlignment="1">
      <alignment horizontal="center"/>
    </xf>
    <xf numFmtId="0" fontId="19" fillId="10" borderId="0" xfId="0" applyFont="1" applyFill="1"/>
    <xf numFmtId="9" fontId="19" fillId="14" borderId="22" xfId="26" applyFont="1" applyFill="1" applyBorder="1"/>
    <xf numFmtId="9" fontId="19" fillId="17" borderId="22" xfId="26" applyFont="1" applyFill="1" applyBorder="1"/>
    <xf numFmtId="9" fontId="19" fillId="14" borderId="23" xfId="26" applyFont="1" applyFill="1" applyBorder="1"/>
    <xf numFmtId="167" fontId="0" fillId="14" borderId="8" xfId="25" applyNumberFormat="1" applyFont="1" applyFill="1" applyBorder="1" applyAlignment="1">
      <alignment horizontal="center"/>
    </xf>
    <xf numFmtId="0" fontId="0" fillId="14" borderId="0" xfId="0" applyFill="1" applyAlignment="1"/>
    <xf numFmtId="0" fontId="0" fillId="14" borderId="0" xfId="0" applyFont="1" applyFill="1" applyBorder="1"/>
    <xf numFmtId="14" fontId="0" fillId="14" borderId="0" xfId="0" applyNumberFormat="1" applyFill="1" applyAlignment="1">
      <alignment horizontal="right"/>
    </xf>
    <xf numFmtId="0" fontId="11" fillId="14" borderId="0" xfId="0" applyFont="1" applyFill="1"/>
    <xf numFmtId="0" fontId="0" fillId="14" borderId="0" xfId="0" applyNumberFormat="1" applyFont="1" applyFill="1" applyBorder="1"/>
    <xf numFmtId="0" fontId="1" fillId="14" borderId="0" xfId="25" applyNumberFormat="1" applyFont="1" applyFill="1" applyBorder="1" applyAlignment="1"/>
    <xf numFmtId="0" fontId="1" fillId="14" borderId="0" xfId="25" applyNumberFormat="1" applyFont="1" applyFill="1" applyBorder="1" applyAlignment="1">
      <alignment horizontal="left"/>
    </xf>
    <xf numFmtId="44" fontId="1" fillId="14" borderId="0" xfId="25" applyFont="1" applyFill="1" applyBorder="1" applyAlignment="1">
      <alignment horizontal="left"/>
    </xf>
    <xf numFmtId="0" fontId="0" fillId="14" borderId="0" xfId="0" applyFont="1" applyFill="1"/>
    <xf numFmtId="0" fontId="25" fillId="14" borderId="29" xfId="0" applyFont="1" applyFill="1" applyBorder="1"/>
    <xf numFmtId="0" fontId="24" fillId="14" borderId="30" xfId="0" applyFont="1" applyFill="1" applyBorder="1"/>
    <xf numFmtId="0" fontId="25" fillId="14" borderId="32" xfId="0" applyFont="1" applyFill="1" applyBorder="1"/>
    <xf numFmtId="0" fontId="24" fillId="14" borderId="33" xfId="0" applyFont="1" applyFill="1" applyBorder="1"/>
    <xf numFmtId="0" fontId="0" fillId="14" borderId="29" xfId="0" applyFill="1" applyBorder="1"/>
    <xf numFmtId="0" fontId="22" fillId="14" borderId="30" xfId="0" applyFont="1" applyFill="1" applyBorder="1" applyAlignment="1" applyProtection="1">
      <alignment horizontal="left"/>
      <protection hidden="1"/>
    </xf>
    <xf numFmtId="0" fontId="0" fillId="14" borderId="36" xfId="0" applyFill="1" applyBorder="1"/>
    <xf numFmtId="167" fontId="0" fillId="2" borderId="37" xfId="25" applyNumberFormat="1" applyFont="1" applyFill="1" applyBorder="1" applyAlignment="1">
      <alignment horizontal="left"/>
    </xf>
    <xf numFmtId="0" fontId="0" fillId="14" borderId="38" xfId="0" applyFill="1" applyBorder="1"/>
    <xf numFmtId="0" fontId="0" fillId="14" borderId="34" xfId="0" applyFill="1" applyBorder="1"/>
    <xf numFmtId="167" fontId="22" fillId="14" borderId="35" xfId="25" applyNumberFormat="1" applyFont="1" applyFill="1" applyBorder="1" applyAlignment="1">
      <alignment horizontal="center"/>
    </xf>
    <xf numFmtId="167" fontId="22" fillId="14" borderId="30" xfId="25" applyNumberFormat="1" applyFont="1" applyFill="1" applyBorder="1" applyAlignment="1">
      <alignment horizontal="center"/>
    </xf>
    <xf numFmtId="167" fontId="22" fillId="14" borderId="37" xfId="25" applyNumberFormat="1" applyFont="1" applyFill="1" applyBorder="1" applyAlignment="1">
      <alignment horizontal="center"/>
    </xf>
    <xf numFmtId="0" fontId="0" fillId="14" borderId="34" xfId="0" applyFont="1" applyFill="1" applyBorder="1" applyAlignment="1">
      <alignment horizontal="left"/>
    </xf>
    <xf numFmtId="9" fontId="0" fillId="14" borderId="30" xfId="26" applyFont="1" applyFill="1" applyBorder="1"/>
    <xf numFmtId="9" fontId="0" fillId="2" borderId="37" xfId="26" applyFont="1" applyFill="1" applyBorder="1" applyAlignment="1">
      <alignment horizontal="center"/>
    </xf>
    <xf numFmtId="2" fontId="0" fillId="14" borderId="35" xfId="0" applyNumberFormat="1" applyFont="1" applyFill="1" applyBorder="1" applyProtection="1">
      <protection hidden="1"/>
    </xf>
    <xf numFmtId="2" fontId="22" fillId="14" borderId="37" xfId="0" applyNumberFormat="1" applyFont="1" applyFill="1" applyBorder="1" applyAlignment="1" applyProtection="1">
      <alignment horizontal="center"/>
      <protection hidden="1"/>
    </xf>
    <xf numFmtId="0" fontId="0" fillId="14" borderId="30" xfId="0" applyFill="1" applyBorder="1"/>
    <xf numFmtId="167" fontId="22" fillId="14" borderId="30" xfId="25" applyNumberFormat="1" applyFont="1" applyFill="1" applyBorder="1" applyAlignment="1" applyProtection="1">
      <alignment horizontal="center"/>
      <protection hidden="1"/>
    </xf>
    <xf numFmtId="0" fontId="0" fillId="14" borderId="39" xfId="0" applyFill="1" applyBorder="1"/>
    <xf numFmtId="0" fontId="0" fillId="14" borderId="40" xfId="0" applyFill="1" applyBorder="1"/>
    <xf numFmtId="0" fontId="7" fillId="23" borderId="36" xfId="0" applyFont="1" applyFill="1" applyBorder="1"/>
    <xf numFmtId="167" fontId="23" fillId="23" borderId="37" xfId="0" applyNumberFormat="1" applyFont="1" applyFill="1" applyBorder="1"/>
    <xf numFmtId="167" fontId="0" fillId="14" borderId="30" xfId="0" applyNumberFormat="1" applyFill="1" applyBorder="1" applyProtection="1">
      <protection hidden="1"/>
    </xf>
    <xf numFmtId="0" fontId="19" fillId="14" borderId="18" xfId="0" applyFont="1" applyFill="1" applyBorder="1" applyAlignment="1">
      <alignment horizontal="center"/>
    </xf>
    <xf numFmtId="0" fontId="19" fillId="14" borderId="19" xfId="0" applyFont="1" applyFill="1" applyBorder="1" applyAlignment="1">
      <alignment horizontal="center"/>
    </xf>
    <xf numFmtId="0" fontId="19" fillId="14" borderId="20" xfId="0" applyFont="1" applyFill="1" applyBorder="1" applyAlignment="1">
      <alignment horizontal="center"/>
    </xf>
    <xf numFmtId="0" fontId="19" fillId="14" borderId="21" xfId="0" applyFont="1" applyFill="1" applyBorder="1" applyAlignment="1">
      <alignment horizontal="center"/>
    </xf>
    <xf numFmtId="0" fontId="19" fillId="14" borderId="23" xfId="0" applyFont="1" applyFill="1" applyBorder="1" applyAlignment="1">
      <alignment horizontal="center"/>
    </xf>
    <xf numFmtId="0" fontId="7" fillId="16" borderId="0" xfId="0" applyFont="1" applyFill="1" applyAlignment="1">
      <alignment horizontal="left"/>
    </xf>
    <xf numFmtId="0" fontId="0" fillId="19" borderId="0" xfId="0" applyFill="1" applyAlignment="1">
      <alignment horizontal="left" vertical="top" wrapText="1"/>
    </xf>
    <xf numFmtId="0" fontId="7" fillId="18" borderId="0" xfId="0" applyFont="1" applyFill="1" applyAlignment="1">
      <alignment horizontal="left"/>
    </xf>
    <xf numFmtId="0" fontId="7" fillId="23" borderId="15" xfId="0" applyFont="1" applyFill="1" applyBorder="1" applyAlignment="1">
      <alignment horizontal="center"/>
    </xf>
    <xf numFmtId="0" fontId="7" fillId="23" borderId="16" xfId="0" applyFont="1" applyFill="1" applyBorder="1" applyAlignment="1">
      <alignment horizontal="center"/>
    </xf>
    <xf numFmtId="0" fontId="7" fillId="23" borderId="17" xfId="0" applyFont="1" applyFill="1" applyBorder="1" applyAlignment="1">
      <alignment horizontal="center"/>
    </xf>
    <xf numFmtId="0" fontId="0" fillId="14" borderId="29" xfId="0" applyFill="1" applyBorder="1" applyAlignment="1">
      <alignment horizontal="left" vertical="center" wrapText="1"/>
    </xf>
    <xf numFmtId="0" fontId="0" fillId="14" borderId="0" xfId="0" applyFill="1" applyBorder="1" applyAlignment="1">
      <alignment horizontal="left" vertical="center" wrapText="1"/>
    </xf>
    <xf numFmtId="0" fontId="0" fillId="14" borderId="30" xfId="0" applyFill="1" applyBorder="1" applyAlignment="1">
      <alignment horizontal="left" vertical="center" wrapText="1"/>
    </xf>
    <xf numFmtId="0" fontId="0" fillId="14" borderId="32" xfId="0" applyFill="1" applyBorder="1" applyAlignment="1">
      <alignment horizontal="left" vertical="center" wrapText="1"/>
    </xf>
    <xf numFmtId="0" fontId="0" fillId="14" borderId="31" xfId="0" applyFill="1" applyBorder="1" applyAlignment="1">
      <alignment horizontal="left" vertical="center" wrapText="1"/>
    </xf>
    <xf numFmtId="0" fontId="0" fillId="14" borderId="33" xfId="0" applyFill="1" applyBorder="1" applyAlignment="1">
      <alignment horizontal="left" vertical="center" wrapText="1"/>
    </xf>
    <xf numFmtId="0" fontId="25" fillId="14" borderId="34" xfId="0" applyFont="1" applyFill="1" applyBorder="1" applyAlignment="1">
      <alignment horizontal="left" vertical="center" wrapText="1"/>
    </xf>
    <xf numFmtId="0" fontId="25" fillId="14" borderId="35" xfId="0" applyFont="1" applyFill="1" applyBorder="1" applyAlignment="1">
      <alignment horizontal="left" vertical="center" wrapText="1"/>
    </xf>
    <xf numFmtId="0" fontId="26" fillId="14" borderId="1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7" fillId="14" borderId="29"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7" fillId="14" borderId="32" xfId="0" applyFont="1" applyFill="1" applyBorder="1" applyAlignment="1">
      <alignment horizontal="center" vertical="center" wrapText="1"/>
    </xf>
    <xf numFmtId="0" fontId="7" fillId="14" borderId="33" xfId="0" applyFont="1" applyFill="1" applyBorder="1" applyAlignment="1">
      <alignment horizontal="center" vertical="center" wrapText="1"/>
    </xf>
  </cellXfs>
  <cellStyles count="29">
    <cellStyle name="Accent4" xfId="23" builtinId="41" customBuiltin="1"/>
    <cellStyle name="Accent6" xfId="24" builtinId="49" customBuiltin="1"/>
    <cellStyle name="Bad" xfId="8" builtinId="27" customBuiltin="1"/>
    <cellStyle name="Calculation" xfId="10" builtinId="22" hidden="1"/>
    <cellStyle name="Calculation" xfId="19" xr:uid="{BA044971-647E-4B43-BDF3-B9F90685EA06}"/>
    <cellStyle name="Check Cell" xfId="12" builtinId="23" hidden="1"/>
    <cellStyle name="Comma 2" xfId="28" xr:uid="{8A62DC5E-90FF-455B-954E-2D105C8C08D3}"/>
    <cellStyle name="Currency" xfId="25" builtinId="4"/>
    <cellStyle name="Explanatory Text" xfId="15" builtinId="53" hidden="1"/>
    <cellStyle name="Heading 1" xfId="2" builtinId="16" customBuiltin="1"/>
    <cellStyle name="Heading 2" xfId="3" builtinId="17" customBuiltin="1"/>
    <cellStyle name="Heading 3" xfId="4" builtinId="18" customBuiltin="1"/>
    <cellStyle name="Heading 4" xfId="17" builtinId="19" customBuiltin="1"/>
    <cellStyle name="Input" xfId="9" builtinId="20" hidden="1"/>
    <cellStyle name="Link" xfId="20" xr:uid="{F6F335AB-58A7-4135-B553-B7C2CE08F402}"/>
    <cellStyle name="Linked Cell" xfId="11" builtinId="24" hidden="1"/>
    <cellStyle name="Normal" xfId="0" builtinId="0"/>
    <cellStyle name="Normal 2" xfId="27" xr:uid="{9DEFA579-5E9F-4C57-83DC-728585E2AA4C}"/>
    <cellStyle name="Note" xfId="14" builtinId="10" hidden="1"/>
    <cellStyle name="Notes" xfId="22" xr:uid="{7BF13CA6-F5E1-45BE-8ABA-DF8882E10889}"/>
    <cellStyle name="Output" xfId="5" builtinId="21" hidden="1" customBuiltin="1"/>
    <cellStyle name="Output" xfId="1" xr:uid="{DDC8B129-E4EA-4CC9-B7C4-EEF8799DAD76}"/>
    <cellStyle name="Percent" xfId="26" builtinId="5"/>
    <cellStyle name="Raw Data" xfId="6" xr:uid="{6E154805-33DE-42D5-80BA-AF332D8E7637}"/>
    <cellStyle name="Title" xfId="16" builtinId="15" customBuiltin="1"/>
    <cellStyle name="Total" xfId="18" builtinId="25" customBuiltin="1"/>
    <cellStyle name="Variables" xfId="7" xr:uid="{F06CDAB5-849E-4246-87E8-405DA417694B}"/>
    <cellStyle name="Warning" xfId="21" xr:uid="{270F583D-5642-40BB-8274-77A9A43F50AB}"/>
    <cellStyle name="Warning Text" xfId="13" builtinId="11" hidden="1"/>
  </cellStyles>
  <dxfs count="18">
    <dxf>
      <fill>
        <patternFill>
          <bgColor rgb="FFE6E6E6"/>
        </patternFill>
      </fill>
    </dxf>
    <dxf>
      <font>
        <b/>
        <i val="0"/>
      </font>
    </dxf>
    <dxf>
      <font>
        <b/>
        <i val="0"/>
        <color theme="0"/>
      </font>
      <fill>
        <patternFill>
          <bgColor theme="4"/>
        </patternFill>
      </fill>
      <border diagonalUp="0" diagonalDown="0">
        <left/>
        <right/>
        <top/>
        <bottom style="thick">
          <color auto="1"/>
        </bottom>
        <vertical/>
        <horizontal/>
      </border>
    </dxf>
    <dxf>
      <font>
        <b/>
        <i val="0"/>
      </font>
    </dxf>
    <dxf>
      <font>
        <b/>
        <i val="0"/>
        <color auto="1"/>
      </font>
      <fill>
        <patternFill>
          <bgColor rgb="FFE6E6E6"/>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auto="1"/>
      </font>
      <fill>
        <patternFill>
          <bgColor rgb="FFE6E6E6"/>
        </patternFill>
      </fill>
      <border diagonalUp="0" diagonalDown="0">
        <left/>
        <right/>
        <top/>
        <bottom/>
        <vertical/>
        <horizontal/>
      </border>
    </dxf>
    <dxf>
      <font>
        <b/>
        <i val="0"/>
      </font>
    </dxf>
    <dxf>
      <font>
        <b/>
        <i val="0"/>
        <color theme="0"/>
      </font>
      <fill>
        <patternFill>
          <bgColor theme="4"/>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theme="0"/>
      </font>
      <fill>
        <patternFill>
          <bgColor theme="4"/>
        </patternFill>
      </fill>
      <border diagonalUp="0" diagonalDown="0">
        <left/>
        <right/>
        <top/>
        <bottom/>
        <vertical/>
        <horizontal/>
      </border>
    </dxf>
    <dxf>
      <font>
        <b/>
        <i val="0"/>
      </font>
    </dxf>
    <dxf>
      <font>
        <b/>
        <i val="0"/>
      </font>
      <border diagonalUp="0" diagonalDown="0">
        <left/>
        <right/>
        <top/>
        <bottom style="thick">
          <color rgb="FF7F7F7F"/>
        </bottom>
        <vertical/>
        <horizontal/>
      </border>
    </dxf>
    <dxf>
      <font>
        <b/>
        <i val="0"/>
      </font>
    </dxf>
    <dxf>
      <font>
        <b/>
        <i val="0"/>
      </font>
      <border diagonalUp="0" diagonalDown="0">
        <left/>
        <right/>
        <top/>
        <bottom style="thick">
          <color rgb="FF7F7F7F"/>
        </bottom>
        <vertical/>
        <horizontal/>
      </border>
    </dxf>
    <dxf>
      <border diagonalUp="0" diagonalDown="0">
        <left/>
        <right/>
        <top/>
        <bottom/>
        <vertical/>
        <horizontal style="thin">
          <color rgb="FF7F7F7F"/>
        </horizontal>
      </border>
    </dxf>
  </dxfs>
  <tableStyles count="7" defaultTableStyle="Firm Table 1" defaultPivotStyle="PivotStyleLight16">
    <tableStyle name="Firm Table 1" pivot="0" count="3" xr9:uid="{EBA62709-C567-4EE8-B22C-FB062E3CEA69}">
      <tableStyleElement type="wholeTable" dxfId="17"/>
      <tableStyleElement type="headerRow" dxfId="16"/>
      <tableStyleElement type="firstColumn" dxfId="15"/>
    </tableStyle>
    <tableStyle name="Firm Table 2" pivot="0" count="2" xr9:uid="{B876A247-FB3A-4EAD-8ABF-DECA13B726A4}">
      <tableStyleElement type="headerRow" dxfId="14"/>
      <tableStyleElement type="firstColumn" dxfId="13"/>
    </tableStyle>
    <tableStyle name="Firm Table 3" pivot="0" count="2" xr9:uid="{2B6AAF42-6E59-4306-B0DA-5849423BC35A}">
      <tableStyleElement type="headerRow" dxfId="12"/>
      <tableStyleElement type="firstColumn" dxfId="11"/>
    </tableStyle>
    <tableStyle name="Firm Table 4" pivot="0" count="3" xr9:uid="{32B30501-1584-4AD4-A03A-1FBBE68503FC}">
      <tableStyleElement type="wholeTable" dxfId="10"/>
      <tableStyleElement type="headerRow" dxfId="9"/>
      <tableStyleElement type="firstColumn" dxfId="8"/>
    </tableStyle>
    <tableStyle name="Firm Table 5" pivot="0" count="2" xr9:uid="{5186B738-23FD-49C9-A79F-52302289DB42}">
      <tableStyleElement type="headerRow" dxfId="7"/>
      <tableStyleElement type="firstColumn" dxfId="6"/>
    </tableStyle>
    <tableStyle name="Firm Table 6" pivot="0" count="3" xr9:uid="{5115FDC7-826F-425C-92C7-D20F38226ADA}">
      <tableStyleElement type="wholeTable" dxfId="5"/>
      <tableStyleElement type="headerRow" dxfId="4"/>
      <tableStyleElement type="firstColumn" dxfId="3"/>
    </tableStyle>
    <tableStyle name="Firm Table 7" pivot="0" count="3" xr9:uid="{084FD9DC-CC97-454E-8CBD-B2EE3CD956D6}">
      <tableStyleElement type="headerRow" dxfId="2"/>
      <tableStyleElement type="firstColumn" dxfId="1"/>
      <tableStyleElement type="secondRowStripe" dxfId="0"/>
    </tableStyle>
  </tableStyles>
  <colors>
    <mruColors>
      <color rgb="FF0808A0"/>
      <color rgb="FF0000FF"/>
      <color rgb="FFFFFFCC"/>
      <color rgb="FFFFCC99"/>
      <color rgb="FF7F7F7F"/>
      <color rgb="FFE6E6E6"/>
      <color rgb="FF0080B7"/>
      <color rgb="FFD0D0D0"/>
      <color rgb="FFF2F2F2"/>
      <color rgb="FFE73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8941</xdr:colOff>
      <xdr:row>11</xdr:row>
      <xdr:rowOff>94803</xdr:rowOff>
    </xdr:from>
    <xdr:to>
      <xdr:col>18</xdr:col>
      <xdr:colOff>21464</xdr:colOff>
      <xdr:row>35</xdr:row>
      <xdr:rowOff>75127</xdr:rowOff>
    </xdr:to>
    <xdr:sp macro="" textlink="">
      <xdr:nvSpPr>
        <xdr:cNvPr id="2" name="Rectangle 1">
          <a:extLst>
            <a:ext uri="{FF2B5EF4-FFF2-40B4-BE49-F238E27FC236}">
              <a16:creationId xmlns:a16="http://schemas.microsoft.com/office/drawing/2014/main" id="{A3844AD5-23DD-4AE5-9307-53A804C5ED1D}"/>
            </a:ext>
          </a:extLst>
        </xdr:cNvPr>
        <xdr:cNvSpPr/>
      </xdr:nvSpPr>
      <xdr:spPr>
        <a:xfrm>
          <a:off x="17964237" y="1983704"/>
          <a:ext cx="7117368" cy="4101564"/>
        </a:xfrm>
        <a:prstGeom prst="rect">
          <a:avLst/>
        </a:prstGeom>
        <a:solidFill>
          <a:srgbClr val="FFFF66"/>
        </a:solidFill>
        <a:ln w="12700" cap="sq" cmpd="sng" algn="ctr">
          <a:solidFill>
            <a:srgbClr val="FFC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l">
            <a:spcBef>
              <a:spcPts val="300"/>
            </a:spcBef>
            <a:spcAft>
              <a:spcPts val="300"/>
            </a:spcAft>
          </a:pPr>
          <a:r>
            <a:rPr lang="en-US" sz="1600" dirty="0" err="1">
              <a:solidFill>
                <a:schemeClr val="tx1">
                  <a:lumMod val="100000"/>
                </a:schemeClr>
              </a:solidFill>
            </a:rPr>
            <a:t>Validar</a:t>
          </a:r>
          <a:r>
            <a:rPr lang="en-US" sz="1600" baseline="0" dirty="0" err="1">
              <a:solidFill>
                <a:schemeClr val="tx1">
                  <a:lumMod val="100000"/>
                </a:schemeClr>
              </a:solidFill>
            </a:rPr>
            <a:t> si hay alguna informacion de tantos sueldos. Buscar en Know.</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Compartir resultados a Ali y Ger </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1. Hemos cambiado el 70% a Claudio le parecia resultados. No parece que afecta significativament ea la motivacion y es valido.</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2. Cambio los porcentajes de arriba. </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3. Planteamos la posibilidad de reducir un sueldo para todas. Nos parece muy poca plata la diferencia y no parece material. Pero si  puede ser importante para las personas que lo reciban. </a:t>
          </a:r>
        </a:p>
        <a:p>
          <a:pPr algn="l">
            <a:spcBef>
              <a:spcPts val="300"/>
            </a:spcBef>
            <a:spcAft>
              <a:spcPts val="300"/>
            </a:spcAft>
          </a:pPr>
          <a:endParaRPr lang="en-US" sz="1600" baseline="0" dirty="0" err="1">
            <a:solidFill>
              <a:schemeClr val="tx1">
                <a:lumMod val="100000"/>
              </a:schemeClr>
            </a:solidFill>
          </a:endParaRPr>
        </a:p>
        <a:p>
          <a:pPr algn="l">
            <a:spcBef>
              <a:spcPts val="300"/>
            </a:spcBef>
            <a:spcAft>
              <a:spcPts val="300"/>
            </a:spcAft>
          </a:pPr>
          <a:r>
            <a:rPr lang="en-US" sz="1600" baseline="0" dirty="0" err="1">
              <a:solidFill>
                <a:schemeClr val="tx1">
                  <a:lumMod val="100000"/>
                </a:schemeClr>
              </a:solidFill>
            </a:rPr>
            <a:t> </a:t>
          </a:r>
          <a:endParaRPr lang="en-US" sz="1600" dirty="0" err="1">
            <a:solidFill>
              <a:schemeClr val="tx1">
                <a:lumMod val="10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434341</xdr:colOff>
      <xdr:row>1</xdr:row>
      <xdr:rowOff>160019</xdr:rowOff>
    </xdr:from>
    <xdr:to>
      <xdr:col>2</xdr:col>
      <xdr:colOff>1574290</xdr:colOff>
      <xdr:row>4</xdr:row>
      <xdr:rowOff>41032</xdr:rowOff>
    </xdr:to>
    <xdr:pic>
      <xdr:nvPicPr>
        <xdr:cNvPr id="4" name="Imagen 2">
          <a:extLst>
            <a:ext uri="{FF2B5EF4-FFF2-40B4-BE49-F238E27FC236}">
              <a16:creationId xmlns:a16="http://schemas.microsoft.com/office/drawing/2014/main" id="{6A0A5E61-60F6-43FF-BB69-D68CB75D3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5461" y="342899"/>
          <a:ext cx="1139949" cy="406793"/>
        </a:xfrm>
        <a:prstGeom prst="rect">
          <a:avLst/>
        </a:prstGeom>
      </xdr:spPr>
    </xdr:pic>
    <xdr:clientData/>
  </xdr:twoCellAnchor>
  <xdr:twoCellAnchor editAs="oneCell">
    <xdr:from>
      <xdr:col>2</xdr:col>
      <xdr:colOff>5410201</xdr:colOff>
      <xdr:row>2</xdr:row>
      <xdr:rowOff>75910</xdr:rowOff>
    </xdr:from>
    <xdr:to>
      <xdr:col>3</xdr:col>
      <xdr:colOff>1181101</xdr:colOff>
      <xdr:row>3</xdr:row>
      <xdr:rowOff>171277</xdr:rowOff>
    </xdr:to>
    <xdr:pic>
      <xdr:nvPicPr>
        <xdr:cNvPr id="5" name="Imagen 1">
          <a:extLst>
            <a:ext uri="{FF2B5EF4-FFF2-40B4-BE49-F238E27FC236}">
              <a16:creationId xmlns:a16="http://schemas.microsoft.com/office/drawing/2014/main" id="{1F690AE6-C9A6-4180-B0C8-A8DE960694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51321" y="434050"/>
          <a:ext cx="1615440" cy="2706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Sebastian Ponce" id="{2BEFEDB1-DF74-49A4-9F37-0661F66C531F}" userId="S::Juan_Sebastian_Ponce@mckinsey.com::5e1e86d3-fe80-45d7-836f-5800542f4ad4" providerId="AD"/>
</personList>
</file>

<file path=xl/theme/theme1.xml><?xml version="1.0" encoding="utf-8"?>
<a:theme xmlns:a="http://schemas.openxmlformats.org/drawingml/2006/main" name="excel">
  <a:themeElements>
    <a:clrScheme name="Custom 24">
      <a:dk1>
        <a:srgbClr val="000000"/>
      </a:dk1>
      <a:lt1>
        <a:srgbClr val="FFFFFF"/>
      </a:lt1>
      <a:dk2>
        <a:srgbClr val="FFFFFF"/>
      </a:dk2>
      <a:lt2>
        <a:srgbClr val="FFFFFF"/>
      </a:lt2>
      <a:accent1>
        <a:srgbClr val="051C2C"/>
      </a:accent1>
      <a:accent2>
        <a:srgbClr val="00A9F4"/>
      </a:accent2>
      <a:accent3>
        <a:srgbClr val="2251FF"/>
      </a:accent3>
      <a:accent4>
        <a:srgbClr val="AAE6F0"/>
      </a:accent4>
      <a:accent5>
        <a:srgbClr val="3C96B4"/>
      </a:accent5>
      <a:accent6>
        <a:srgbClr val="AFC3FF"/>
      </a:accent6>
      <a:hlink>
        <a:srgbClr val="1F40E6"/>
      </a:hlink>
      <a:folHlink>
        <a:srgbClr val="8C5AC8"/>
      </a:folHlink>
    </a:clrScheme>
    <a:fontScheme name="Scheme White Fonts">
      <a:majorFont>
        <a:latin typeface="Georgia"/>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w="6350" cap="sq">
          <a:noFill/>
          <a:miter lim="800000"/>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spcBef>
            <a:spcPts val="300"/>
          </a:spcBef>
          <a:spcAft>
            <a:spcPts val="300"/>
          </a:spcAft>
          <a:defRPr sz="1600" dirty="0" err="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cap="sq">
          <a:solidFill>
            <a:srgbClr val="000000"/>
          </a:solidFill>
          <a:miter lim="800000"/>
          <a:tailEnd type="none"/>
        </a:ln>
      </a:spPr>
      <a:bodyPr/>
      <a:lstStyle/>
      <a:style>
        <a:lnRef idx="1">
          <a:schemeClr val="accent1"/>
        </a:lnRef>
        <a:fillRef idx="0">
          <a:schemeClr val="accent1"/>
        </a:fillRef>
        <a:effectRef idx="0">
          <a:schemeClr val="accent1"/>
        </a:effectRef>
        <a:fontRef idx="minor">
          <a:schemeClr val="tx1"/>
        </a:fontRef>
      </a:style>
    </a:lnDef>
    <a:txDef>
      <a:spPr>
        <a:ln w="6350">
          <a:noFill/>
          <a:miter lim="800000"/>
        </a:ln>
      </a:spPr>
      <a:bodyPr vert="horz" wrap="square" lIns="0" tIns="0" rIns="0" bIns="0" rtlCol="0">
        <a:noAutofit/>
      </a:bodyPr>
      <a:lstStyle>
        <a:defPPr algn="l">
          <a:spcBef>
            <a:spcPts val="300"/>
          </a:spcBef>
          <a:spcAft>
            <a:spcPts val="300"/>
          </a:spcAft>
          <a:buNone/>
          <a:defRPr sz="1600" dirty="0" smtClean="0"/>
        </a:defPPr>
      </a:lstStyle>
    </a:txDef>
  </a:objectDefaults>
  <a:extraClrSchemeLst>
    <a:extraClrScheme>
      <a:clrScheme name="Scheme White">
        <a:dk1>
          <a:srgbClr val="000000"/>
        </a:dk1>
        <a:lt1>
          <a:srgbClr val="FFFFFF"/>
        </a:lt1>
        <a:dk2>
          <a:srgbClr val="FFFFFF"/>
        </a:dk2>
        <a:lt2>
          <a:srgbClr val="FFFFFF"/>
        </a:lt2>
        <a:accent1>
          <a:srgbClr val="051C2C"/>
        </a:accent1>
        <a:accent2>
          <a:srgbClr val="00A9F4"/>
        </a:accent2>
        <a:accent3>
          <a:srgbClr val="1F40E6"/>
        </a:accent3>
        <a:accent4>
          <a:srgbClr val="AAE6F0"/>
        </a:accent4>
        <a:accent5>
          <a:srgbClr val="3C96B4"/>
        </a:accent5>
        <a:accent6>
          <a:srgbClr val="AFC3FF"/>
        </a:accent6>
        <a:hlink>
          <a:srgbClr val="1F40E6"/>
        </a:hlink>
        <a:folHlink>
          <a:srgbClr val="8C5AC8"/>
        </a:folHlink>
      </a:clrScheme>
    </a:extraClrScheme>
  </a:extraClrSchemeLst>
  <a:custClrLst>
    <a:custClr name="Electric Blue">
      <a:srgbClr val="2251FF"/>
    </a:custClr>
    <a:custClr name="Cyan">
      <a:srgbClr val="00A9F4"/>
    </a:custClr>
    <a:custClr name="Pale Blue">
      <a:srgbClr val="6DC1DB"/>
    </a:custClr>
    <a:custClr name="Super Light Gray">
      <a:srgbClr val="D0D0D0"/>
    </a:custClr>
    <a:custClr name="Pink">
      <a:srgbClr val="E8BDAD"/>
    </a:custClr>
    <a:custClr name="Orange">
      <a:srgbClr val="FAA082"/>
    </a:custClr>
    <a:custClr name="Red">
      <a:srgbClr val="E5546C"/>
    </a:custClr>
    <a:custClr name="Null">
      <a:srgbClr val="FFFFFF"/>
    </a:custClr>
    <a:custClr name="Null">
      <a:srgbClr val="FFFFFF"/>
    </a:custClr>
    <a:custClr name="Null">
      <a:srgbClr val="FFFFFF"/>
    </a:custClr>
    <a:custClr name="Dark Gray">
      <a:srgbClr val="4D4D4D"/>
    </a:custClr>
    <a:custClr name="Mid Gray">
      <a:srgbClr val="7F7F7F"/>
    </a:custClr>
    <a:custClr name="Light Gray">
      <a:srgbClr val="B3B3B3"/>
    </a:custClr>
    <a:custClr name="Super Light Gray">
      <a:srgbClr val="D0D0D0"/>
    </a:custClr>
    <a:custClr name="Pale Gray">
      <a:srgbClr val="E6E6E6"/>
    </a:custClr>
    <a:custClr name="Null">
      <a:srgbClr val="FFFFFF"/>
    </a:custClr>
    <a:custClr name="Null">
      <a:srgbClr val="FFFFFF"/>
    </a:custClr>
    <a:custClr name="Null">
      <a:srgbClr val="FFFFFF"/>
    </a:custClr>
    <a:custClr name="Null">
      <a:srgbClr val="FFFFFF"/>
    </a:custClr>
    <a:custClr name="Null">
      <a:srgbClr val="FFFFFF"/>
    </a:custClr>
    <a:custClr name="Linear 1 (Deep Blue)">
      <a:srgbClr val="051C2C"/>
    </a:custClr>
    <a:custClr name="Linear 2">
      <a:srgbClr val="034B6F"/>
    </a:custClr>
    <a:custClr name="Linear 3">
      <a:srgbClr val="027AB1"/>
    </a:custClr>
    <a:custClr name="Linear 4 (Cyan)">
      <a:srgbClr val="00A9F4"/>
    </a:custClr>
    <a:custClr name="Linear 5">
      <a:srgbClr val="71D2F1"/>
    </a:custClr>
    <a:custClr name="Linear 6 (Pale Blue)">
      <a:srgbClr val="AAE6F0"/>
    </a:custClr>
    <a:custClr name="Null">
      <a:srgbClr val="FFFFFF"/>
    </a:custClr>
    <a:custClr name="Null">
      <a:srgbClr val="FFFFFF"/>
    </a:custClr>
    <a:custClr name="Null">
      <a:srgbClr val="FFFFFF"/>
    </a:custClr>
    <a:custClr name="Null">
      <a:srgbClr val="FFFFFF"/>
    </a:custClr>
  </a:custClrLst>
  <a:extLst>
    <a:ext uri="{05A4C25C-085E-4340-85A3-A5531E510DB2}">
      <thm15:themeFamily xmlns:thm15="http://schemas.microsoft.com/office/thememl/2012/main" name="mck" id="{5C06EE14-FD0C-4D84-95B7-A7A2283B4F1A}" vid="{E155375D-59B9-41EA-8544-0CDF30FD128F}"/>
    </a:ext>
  </a:extLst>
</a:theme>
</file>

<file path=xl/threadedComments/threadedComment1.xml><?xml version="1.0" encoding="utf-8"?>
<ThreadedComments xmlns="http://schemas.microsoft.com/office/spreadsheetml/2018/threadedcomments" xmlns:x="http://schemas.openxmlformats.org/spreadsheetml/2006/main">
  <threadedComment ref="D60" dT="2022-06-20T22:16:06.31" personId="{2BEFEDB1-DF74-49A4-9F37-0661F66C531F}" id="{6A2D614B-E7E6-42EA-9E7C-E8A1B37A7367}">
    <text>Cuando es la fecha de L5?</text>
  </threadedComment>
  <threadedComment ref="D110" dT="2022-06-20T22:16:06.31" personId="{2BEFEDB1-DF74-49A4-9F37-0661F66C531F}" id="{76F67F9B-D20A-4FBB-AB8F-58A64DA23D52}">
    <text>Cuando es la fecha de L5?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B9BB-8471-4299-B11A-1106FB578E68}">
  <sheetPr>
    <tabColor rgb="FFFFC000"/>
  </sheetPr>
  <dimension ref="A1:XFD144"/>
  <sheetViews>
    <sheetView zoomScale="64" zoomScaleNormal="80" workbookViewId="0">
      <selection activeCell="F24" sqref="B24:Q51"/>
    </sheetView>
  </sheetViews>
  <sheetFormatPr defaultColWidth="8.69921875" defaultRowHeight="13.8" x14ac:dyDescent="0.25"/>
  <cols>
    <col min="1" max="1" width="2.69921875" style="1" customWidth="1"/>
    <col min="2" max="2" width="25.59765625" style="1" customWidth="1"/>
    <col min="3" max="3" width="19.59765625" style="24" customWidth="1"/>
    <col min="4" max="4" width="15.796875" style="1" customWidth="1"/>
    <col min="5" max="5" width="13.09765625" style="1" customWidth="1"/>
    <col min="6" max="6" width="12.5" style="1" customWidth="1"/>
    <col min="7" max="7" width="9.59765625" style="1" customWidth="1"/>
    <col min="8" max="8" width="8" style="1" customWidth="1"/>
    <col min="9" max="17" width="9.59765625" style="1" customWidth="1"/>
    <col min="18" max="16384" width="8.69921875" style="1"/>
  </cols>
  <sheetData>
    <row r="1" spans="2:17" ht="14.4" thickBot="1" x14ac:dyDescent="0.3">
      <c r="B1" s="40" t="s">
        <v>22</v>
      </c>
      <c r="C1" s="42"/>
      <c r="D1" s="41"/>
      <c r="E1" s="41"/>
      <c r="F1" s="41"/>
      <c r="G1" s="41"/>
      <c r="H1" s="41"/>
      <c r="I1" s="41"/>
      <c r="J1" s="41"/>
      <c r="K1" s="41"/>
      <c r="L1" s="41"/>
      <c r="M1" s="41"/>
      <c r="N1" s="41"/>
      <c r="O1" s="41"/>
      <c r="P1" s="41"/>
      <c r="Q1" s="41"/>
    </row>
    <row r="2" spans="2:17" ht="14.4" thickBot="1" x14ac:dyDescent="0.3">
      <c r="D2" s="130" t="s">
        <v>15</v>
      </c>
      <c r="E2" s="131"/>
      <c r="F2" s="131"/>
      <c r="G2" s="131"/>
      <c r="H2" s="131"/>
      <c r="I2" s="131"/>
      <c r="J2" s="131"/>
      <c r="K2" s="131"/>
      <c r="L2" s="131"/>
      <c r="M2" s="131"/>
      <c r="N2" s="131"/>
      <c r="O2" s="131"/>
      <c r="P2" s="131"/>
      <c r="Q2" s="132"/>
    </row>
    <row r="3" spans="2:17" ht="14.4" thickBot="1" x14ac:dyDescent="0.3">
      <c r="B3" s="28" t="s">
        <v>7</v>
      </c>
      <c r="C3" s="29" t="s">
        <v>17</v>
      </c>
      <c r="D3" s="92">
        <v>0.65</v>
      </c>
      <c r="E3" s="92">
        <v>0.7</v>
      </c>
      <c r="F3" s="92">
        <v>0.8</v>
      </c>
      <c r="G3" s="92">
        <v>0.9</v>
      </c>
      <c r="H3" s="92">
        <v>0.94</v>
      </c>
      <c r="I3" s="92">
        <v>0.96</v>
      </c>
      <c r="J3" s="92">
        <v>0.98</v>
      </c>
      <c r="K3" s="93">
        <v>1</v>
      </c>
      <c r="L3" s="92">
        <v>1.02</v>
      </c>
      <c r="M3" s="92">
        <v>1.04</v>
      </c>
      <c r="N3" s="92">
        <v>1.06</v>
      </c>
      <c r="O3" s="92">
        <v>1.1000000000000001</v>
      </c>
      <c r="P3" s="92">
        <v>1.3</v>
      </c>
      <c r="Q3" s="94">
        <v>1.5</v>
      </c>
    </row>
    <row r="4" spans="2:17" x14ac:dyDescent="0.25">
      <c r="B4" s="25" t="s">
        <v>12</v>
      </c>
      <c r="C4" s="26" t="s">
        <v>14</v>
      </c>
      <c r="D4" s="27">
        <f>'Model S'!$D$3*Supuestos!K4</f>
        <v>0</v>
      </c>
      <c r="E4" s="32">
        <f>'Model S'!$D$4*Supuestos!$K4</f>
        <v>1.5</v>
      </c>
      <c r="F4" s="32">
        <f>'Model S'!$D$5*Supuestos!$K4</f>
        <v>2.0999999999999996</v>
      </c>
      <c r="G4" s="32">
        <f>'Model S'!$D$6*Supuestos!$K4</f>
        <v>2.7</v>
      </c>
      <c r="H4" s="32">
        <f>'Model S'!$D$7*Supuestos!$K4</f>
        <v>2.91</v>
      </c>
      <c r="I4" s="32">
        <f>'Model S'!$D$8*Supuestos!$K4</f>
        <v>2.94</v>
      </c>
      <c r="J4" s="32">
        <f>'Model S'!$D$9*Supuestos!$K4</f>
        <v>2.9699999999999998</v>
      </c>
      <c r="K4" s="33">
        <v>3</v>
      </c>
      <c r="L4" s="32">
        <f>'Model S'!$D$11*Supuestos!$K4</f>
        <v>3.06</v>
      </c>
      <c r="M4" s="32">
        <f>'Model S'!$D$12*Supuestos!$K4</f>
        <v>3.18</v>
      </c>
      <c r="N4" s="32">
        <f>'Model S'!$D$13*Supuestos!$K4</f>
        <v>3.4499999999999997</v>
      </c>
      <c r="O4" s="32">
        <f>'Model S'!$D$14*Supuestos!$K4</f>
        <v>3.75</v>
      </c>
      <c r="P4" s="32">
        <f>'Model S'!$D$15*Supuestos!$K4</f>
        <v>4.5</v>
      </c>
      <c r="Q4" s="32">
        <f>'Model S'!$D$16*Supuestos!$K4</f>
        <v>4.9499999999999993</v>
      </c>
    </row>
    <row r="5" spans="2:17" x14ac:dyDescent="0.25">
      <c r="B5" s="2" t="s">
        <v>20</v>
      </c>
      <c r="C5" s="26" t="s">
        <v>14</v>
      </c>
      <c r="D5" s="27">
        <f>'Model S'!$D$3*Supuestos!K5</f>
        <v>0</v>
      </c>
      <c r="E5" s="32">
        <f>'Model S'!$D$4*Supuestos!$K5</f>
        <v>1.5</v>
      </c>
      <c r="F5" s="32">
        <f>'Model S'!$D$5*Supuestos!$K5</f>
        <v>2.0999999999999996</v>
      </c>
      <c r="G5" s="32">
        <f>'Model S'!$D$6*Supuestos!$K5</f>
        <v>2.7</v>
      </c>
      <c r="H5" s="32">
        <f>'Model S'!$D$7*Supuestos!$K5</f>
        <v>2.91</v>
      </c>
      <c r="I5" s="32">
        <f>'Model S'!$D$8*Supuestos!$K5</f>
        <v>2.94</v>
      </c>
      <c r="J5" s="32">
        <f>'Model S'!$D$9*Supuestos!$K5</f>
        <v>2.9699999999999998</v>
      </c>
      <c r="K5" s="15">
        <v>3</v>
      </c>
      <c r="L5" s="32">
        <f>'Model S'!$D$11*Supuestos!$K5</f>
        <v>3.06</v>
      </c>
      <c r="M5" s="32">
        <f>'Model S'!$D$12*Supuestos!$K5</f>
        <v>3.18</v>
      </c>
      <c r="N5" s="32">
        <f>'Model S'!$D$13*Supuestos!$K5</f>
        <v>3.4499999999999997</v>
      </c>
      <c r="O5" s="32">
        <f>'Model S'!$D$14*Supuestos!$K5</f>
        <v>3.75</v>
      </c>
      <c r="P5" s="32">
        <f>'Model S'!$D$15*Supuestos!$K5</f>
        <v>4.5</v>
      </c>
      <c r="Q5" s="32">
        <f>'Model S'!$D$16*Supuestos!$K5</f>
        <v>4.9499999999999993</v>
      </c>
    </row>
    <row r="6" spans="2:17" x14ac:dyDescent="0.25">
      <c r="B6" s="2" t="s">
        <v>13</v>
      </c>
      <c r="C6" s="23" t="s">
        <v>8</v>
      </c>
      <c r="D6" s="27">
        <f>'Model S'!$D$3*Supuestos!K6</f>
        <v>0</v>
      </c>
      <c r="E6" s="32">
        <f>'Model S'!$D$4*Supuestos!$K6</f>
        <v>2</v>
      </c>
      <c r="F6" s="32">
        <f>'Model S'!$D$5*Supuestos!$K6</f>
        <v>2.8</v>
      </c>
      <c r="G6" s="32">
        <f>'Model S'!$D$6*Supuestos!$K6</f>
        <v>3.6</v>
      </c>
      <c r="H6" s="32">
        <f>'Model S'!$D$7*Supuestos!$K6</f>
        <v>3.88</v>
      </c>
      <c r="I6" s="32">
        <f>'Model S'!$D$8*Supuestos!$K6</f>
        <v>3.92</v>
      </c>
      <c r="J6" s="32">
        <f>'Model S'!$D$9*Supuestos!$K6</f>
        <v>3.96</v>
      </c>
      <c r="K6" s="15">
        <v>4</v>
      </c>
      <c r="L6" s="32">
        <f>'Model S'!$D$11*Supuestos!$K6</f>
        <v>4.08</v>
      </c>
      <c r="M6" s="32">
        <f>'Model S'!$D$12*Supuestos!$K6</f>
        <v>4.24</v>
      </c>
      <c r="N6" s="32">
        <f>'Model S'!$D$13*Supuestos!$K6</f>
        <v>4.5999999999999996</v>
      </c>
      <c r="O6" s="32">
        <f>'Model S'!$D$14*Supuestos!$K6</f>
        <v>5</v>
      </c>
      <c r="P6" s="32">
        <f>'Model S'!$D$15*Supuestos!$K6</f>
        <v>6</v>
      </c>
      <c r="Q6" s="32">
        <f>'Model S'!$D$16*Supuestos!$K6</f>
        <v>6.6</v>
      </c>
    </row>
    <row r="7" spans="2:17" x14ac:dyDescent="0.25">
      <c r="B7" s="2" t="s">
        <v>13</v>
      </c>
      <c r="C7" s="23" t="s">
        <v>9</v>
      </c>
      <c r="D7" s="27">
        <f>'Model S'!$D$3*Supuestos!K7</f>
        <v>0</v>
      </c>
      <c r="E7" s="32">
        <f>'Model S'!$D$4*Supuestos!$K7</f>
        <v>1.5</v>
      </c>
      <c r="F7" s="32">
        <f>'Model S'!$D$5*Supuestos!$K7</f>
        <v>2.0999999999999996</v>
      </c>
      <c r="G7" s="32">
        <f>'Model S'!$D$6*Supuestos!$K7</f>
        <v>2.7</v>
      </c>
      <c r="H7" s="32">
        <f>'Model S'!$D$7*Supuestos!$K7</f>
        <v>2.91</v>
      </c>
      <c r="I7" s="32">
        <f>'Model S'!$D$8*Supuestos!$K7</f>
        <v>2.94</v>
      </c>
      <c r="J7" s="32">
        <f>'Model S'!$D$9*Supuestos!$K7</f>
        <v>2.9699999999999998</v>
      </c>
      <c r="K7" s="15">
        <v>3</v>
      </c>
      <c r="L7" s="32">
        <f>'Model S'!$D$11*Supuestos!$K7</f>
        <v>3.06</v>
      </c>
      <c r="M7" s="32">
        <f>'Model S'!$D$12*Supuestos!$K7</f>
        <v>3.18</v>
      </c>
      <c r="N7" s="32">
        <f>'Model S'!$D$13*Supuestos!$K7</f>
        <v>3.4499999999999997</v>
      </c>
      <c r="O7" s="32">
        <f>'Model S'!$D$14*Supuestos!$K7</f>
        <v>3.75</v>
      </c>
      <c r="P7" s="32">
        <f>'Model S'!$D$15*Supuestos!$K7</f>
        <v>4.5</v>
      </c>
      <c r="Q7" s="32">
        <f>'Model S'!$D$16*Supuestos!$K7</f>
        <v>4.9499999999999993</v>
      </c>
    </row>
    <row r="8" spans="2:17" x14ac:dyDescent="0.25">
      <c r="B8" s="2" t="s">
        <v>13</v>
      </c>
      <c r="C8" s="23" t="s">
        <v>11</v>
      </c>
      <c r="D8" s="27">
        <f>'Model S'!$D$3*Supuestos!K8</f>
        <v>0</v>
      </c>
      <c r="E8" s="32">
        <f>'Model S'!$D$4*Supuestos!$K8</f>
        <v>1</v>
      </c>
      <c r="F8" s="32">
        <f>'Model S'!$D$5*Supuestos!$K8</f>
        <v>1.4</v>
      </c>
      <c r="G8" s="32">
        <f>'Model S'!$D$6*Supuestos!$K8</f>
        <v>1.8</v>
      </c>
      <c r="H8" s="32">
        <f>'Model S'!$D$7*Supuestos!$K8</f>
        <v>1.94</v>
      </c>
      <c r="I8" s="32">
        <f>'Model S'!$D$8*Supuestos!$K8</f>
        <v>1.96</v>
      </c>
      <c r="J8" s="32">
        <f>'Model S'!$D$9*Supuestos!$K8</f>
        <v>1.98</v>
      </c>
      <c r="K8" s="15">
        <v>2</v>
      </c>
      <c r="L8" s="32">
        <f>'Model S'!$D$11*Supuestos!$K8</f>
        <v>2.04</v>
      </c>
      <c r="M8" s="32">
        <f>'Model S'!$D$12*Supuestos!$K8</f>
        <v>2.12</v>
      </c>
      <c r="N8" s="32">
        <f>'Model S'!$D$13*Supuestos!$K8</f>
        <v>2.2999999999999998</v>
      </c>
      <c r="O8" s="32">
        <f>'Model S'!$D$14*Supuestos!$K8</f>
        <v>2.5</v>
      </c>
      <c r="P8" s="32">
        <f>'Model S'!$D$15*Supuestos!$K8</f>
        <v>3</v>
      </c>
      <c r="Q8" s="32">
        <f>'Model S'!$D$16*Supuestos!$K8</f>
        <v>3.3</v>
      </c>
    </row>
    <row r="9" spans="2:17" x14ac:dyDescent="0.25">
      <c r="B9" s="2" t="s">
        <v>13</v>
      </c>
      <c r="C9" s="23" t="s">
        <v>10</v>
      </c>
      <c r="D9" s="27">
        <f>'Model S'!$D$3*Supuestos!K9</f>
        <v>0</v>
      </c>
      <c r="E9" s="32">
        <f>'Model S'!$D$4*Supuestos!$K9</f>
        <v>0.5</v>
      </c>
      <c r="F9" s="32">
        <f>'Model S'!$D$5*Supuestos!$K9</f>
        <v>0.7</v>
      </c>
      <c r="G9" s="32">
        <f>'Model S'!$D$6*Supuestos!$K9</f>
        <v>0.9</v>
      </c>
      <c r="H9" s="32">
        <f>'Model S'!$D$7*Supuestos!$K9</f>
        <v>0.97</v>
      </c>
      <c r="I9" s="32">
        <f>'Model S'!$D$8*Supuestos!$K9</f>
        <v>0.98</v>
      </c>
      <c r="J9" s="32">
        <f>'Model S'!$D$9*Supuestos!$K9</f>
        <v>0.99</v>
      </c>
      <c r="K9" s="15">
        <v>1</v>
      </c>
      <c r="L9" s="32">
        <f>'Model S'!$D$11*Supuestos!$K9</f>
        <v>1.02</v>
      </c>
      <c r="M9" s="32">
        <f>'Model S'!$D$12*Supuestos!$K9</f>
        <v>1.06</v>
      </c>
      <c r="N9" s="32">
        <f>'Model S'!$D$13*Supuestos!$K9</f>
        <v>1.1499999999999999</v>
      </c>
      <c r="O9" s="32">
        <f>'Model S'!$D$14*Supuestos!$K9</f>
        <v>1.25</v>
      </c>
      <c r="P9" s="32">
        <f>'Model S'!$D$15*Supuestos!$K9</f>
        <v>1.5</v>
      </c>
      <c r="Q9" s="32">
        <f>'Model S'!$D$16*Supuestos!$K9</f>
        <v>1.65</v>
      </c>
    </row>
    <row r="10" spans="2:17" x14ac:dyDescent="0.25">
      <c r="B10" s="2" t="s">
        <v>13</v>
      </c>
      <c r="C10" s="23" t="s">
        <v>21</v>
      </c>
      <c r="D10" s="27">
        <f>'Model S'!$D$3*Supuestos!K10</f>
        <v>0</v>
      </c>
      <c r="E10" s="32">
        <f>'Model S'!$D$4*Supuestos!$K10</f>
        <v>0.5</v>
      </c>
      <c r="F10" s="32">
        <f>'Model S'!$D$5*Supuestos!$K10</f>
        <v>0.7</v>
      </c>
      <c r="G10" s="32">
        <f>'Model S'!$D$6*Supuestos!$K10</f>
        <v>0.9</v>
      </c>
      <c r="H10" s="32">
        <f>'Model S'!$D$7*Supuestos!$K10</f>
        <v>0.97</v>
      </c>
      <c r="I10" s="32">
        <f>'Model S'!$D$8*Supuestos!$K10</f>
        <v>0.98</v>
      </c>
      <c r="J10" s="32">
        <f>'Model S'!$D$9*Supuestos!$K10</f>
        <v>0.99</v>
      </c>
      <c r="K10" s="15">
        <v>1</v>
      </c>
      <c r="L10" s="32">
        <f>'Model S'!$D$11*Supuestos!$K10</f>
        <v>1.02</v>
      </c>
      <c r="M10" s="32">
        <f>'Model S'!$D$12*Supuestos!$K10</f>
        <v>1.06</v>
      </c>
      <c r="N10" s="32">
        <f>'Model S'!$D$13*Supuestos!$K10</f>
        <v>1.1499999999999999</v>
      </c>
      <c r="O10" s="32">
        <f>'Model S'!$D$14*Supuestos!$K10</f>
        <v>1.25</v>
      </c>
      <c r="P10" s="32">
        <f>'Model S'!$D$15*Supuestos!$K10</f>
        <v>1.5</v>
      </c>
      <c r="Q10" s="32">
        <f>'Model S'!$D$16*Supuestos!$K10</f>
        <v>1.65</v>
      </c>
    </row>
    <row r="11" spans="2:17" x14ac:dyDescent="0.25">
      <c r="B11" s="25" t="s">
        <v>53</v>
      </c>
      <c r="C11" s="26" t="s">
        <v>14</v>
      </c>
      <c r="D11" s="27">
        <f>'Model S'!$D$3*Supuestos!K11</f>
        <v>0</v>
      </c>
      <c r="E11" s="32">
        <f>'Model S'!$D$4*Supuestos!$K11</f>
        <v>1.5</v>
      </c>
      <c r="F11" s="32">
        <f>'Model S'!$D$5*Supuestos!$K11</f>
        <v>2.0999999999999996</v>
      </c>
      <c r="G11" s="32">
        <f>'Model S'!$D$6*Supuestos!$K11</f>
        <v>2.7</v>
      </c>
      <c r="H11" s="32">
        <f>'Model S'!$D$7*Supuestos!$K11</f>
        <v>2.91</v>
      </c>
      <c r="I11" s="32">
        <f>'Model S'!$D$8*Supuestos!$K11</f>
        <v>2.94</v>
      </c>
      <c r="J11" s="32">
        <f>'Model S'!$D$9*Supuestos!$K11</f>
        <v>2.9699999999999998</v>
      </c>
      <c r="K11" s="33">
        <v>3</v>
      </c>
      <c r="L11" s="32">
        <f>'Model S'!$D$11*Supuestos!$K11</f>
        <v>3.06</v>
      </c>
      <c r="M11" s="32">
        <f>'Model S'!$D$12*Supuestos!$K11</f>
        <v>3.18</v>
      </c>
      <c r="N11" s="32">
        <f>'Model S'!$D$13*Supuestos!$K11</f>
        <v>3.4499999999999997</v>
      </c>
      <c r="O11" s="32">
        <f>'Model S'!$D$14*Supuestos!$K11</f>
        <v>3.75</v>
      </c>
      <c r="P11" s="32">
        <f>'Model S'!$D$15*Supuestos!$K11</f>
        <v>4.5</v>
      </c>
      <c r="Q11" s="32">
        <f>'Model S'!$D$16*Supuestos!$K11</f>
        <v>4.9499999999999993</v>
      </c>
    </row>
    <row r="12" spans="2:17" x14ac:dyDescent="0.25">
      <c r="B12" s="2" t="s">
        <v>54</v>
      </c>
      <c r="C12" s="26" t="s">
        <v>14</v>
      </c>
      <c r="D12" s="27">
        <f>'Model S'!$D$3*Supuestos!K12</f>
        <v>0</v>
      </c>
      <c r="E12" s="32">
        <f>'Model S'!$D$4*Supuestos!$K12</f>
        <v>2</v>
      </c>
      <c r="F12" s="32">
        <f>'Model S'!$D$5*Supuestos!$K12</f>
        <v>2.8</v>
      </c>
      <c r="G12" s="32">
        <f>'Model S'!$D$6*Supuestos!$K12</f>
        <v>3.6</v>
      </c>
      <c r="H12" s="32">
        <f>'Model S'!$D$7*Supuestos!$K12</f>
        <v>3.88</v>
      </c>
      <c r="I12" s="32">
        <f>'Model S'!$D$8*Supuestos!$K12</f>
        <v>3.92</v>
      </c>
      <c r="J12" s="32">
        <f>'Model S'!$D$9*Supuestos!$K12</f>
        <v>3.96</v>
      </c>
      <c r="K12" s="15">
        <v>4</v>
      </c>
      <c r="L12" s="32">
        <f>'Model S'!$D$11*Supuestos!$K12</f>
        <v>4.08</v>
      </c>
      <c r="M12" s="32">
        <f>'Model S'!$D$12*Supuestos!$K12</f>
        <v>4.24</v>
      </c>
      <c r="N12" s="32">
        <f>'Model S'!$D$13*Supuestos!$K12</f>
        <v>4.5999999999999996</v>
      </c>
      <c r="O12" s="32">
        <f>'Model S'!$D$14*Supuestos!$K12</f>
        <v>5</v>
      </c>
      <c r="P12" s="32">
        <f>'Model S'!$D$15*Supuestos!$K12</f>
        <v>6</v>
      </c>
      <c r="Q12" s="32">
        <f>'Model S'!$D$16*Supuestos!$K12</f>
        <v>6.6</v>
      </c>
    </row>
    <row r="13" spans="2:17" ht="14.4" thickBot="1" x14ac:dyDescent="0.3">
      <c r="B13" s="49"/>
      <c r="C13" s="52"/>
      <c r="D13" s="49"/>
      <c r="E13" s="49"/>
      <c r="F13" s="49"/>
      <c r="G13" s="49"/>
      <c r="H13" s="49"/>
      <c r="I13" s="49"/>
      <c r="J13" s="49"/>
      <c r="K13" s="49"/>
      <c r="L13" s="53"/>
      <c r="M13" s="53"/>
      <c r="N13" s="53"/>
      <c r="O13" s="53"/>
      <c r="P13" s="53"/>
      <c r="Q13" s="53"/>
    </row>
    <row r="14" spans="2:17" ht="14.4" thickBot="1" x14ac:dyDescent="0.3">
      <c r="D14" s="130" t="s">
        <v>16</v>
      </c>
      <c r="E14" s="131"/>
      <c r="F14" s="131"/>
      <c r="G14" s="131"/>
      <c r="H14" s="131"/>
      <c r="I14" s="131"/>
      <c r="J14" s="131"/>
      <c r="K14" s="131"/>
      <c r="L14" s="131"/>
      <c r="M14" s="131"/>
      <c r="N14" s="131"/>
      <c r="O14" s="131"/>
      <c r="P14" s="131"/>
      <c r="Q14" s="132"/>
    </row>
    <row r="15" spans="2:17" ht="14.4" thickBot="1" x14ac:dyDescent="0.3">
      <c r="B15" s="43" t="s">
        <v>7</v>
      </c>
      <c r="D15" s="92">
        <v>0.65</v>
      </c>
      <c r="E15" s="92">
        <v>0.7</v>
      </c>
      <c r="F15" s="92">
        <v>0.8</v>
      </c>
      <c r="G15" s="92">
        <v>0.9</v>
      </c>
      <c r="H15" s="92">
        <v>0.94</v>
      </c>
      <c r="I15" s="92">
        <v>0.96</v>
      </c>
      <c r="J15" s="92">
        <v>0.98</v>
      </c>
      <c r="K15" s="93">
        <v>1</v>
      </c>
      <c r="L15" s="92">
        <v>1.02</v>
      </c>
      <c r="M15" s="92">
        <v>1.04</v>
      </c>
      <c r="N15" s="92">
        <v>1.06</v>
      </c>
      <c r="O15" s="92">
        <v>1.1000000000000001</v>
      </c>
      <c r="P15" s="92">
        <v>1.3</v>
      </c>
      <c r="Q15" s="94">
        <v>1.5</v>
      </c>
    </row>
    <row r="16" spans="2:17" x14ac:dyDescent="0.25">
      <c r="B16" s="44" t="s">
        <v>13</v>
      </c>
      <c r="C16" s="23" t="s">
        <v>14</v>
      </c>
      <c r="D16" s="2" t="e">
        <f>'Model S'!$E$3*Supuestos!K16</f>
        <v>#REF!</v>
      </c>
      <c r="E16" s="2">
        <v>0</v>
      </c>
      <c r="F16" s="2">
        <v>0</v>
      </c>
      <c r="G16" s="2">
        <v>0</v>
      </c>
      <c r="H16" s="2">
        <v>0</v>
      </c>
      <c r="I16" s="2">
        <v>0</v>
      </c>
      <c r="J16" s="2">
        <v>0</v>
      </c>
      <c r="K16" s="15">
        <v>1</v>
      </c>
      <c r="L16" s="2">
        <f>'Model S'!$D$11*Supuestos!$K16</f>
        <v>1.02</v>
      </c>
      <c r="M16" s="2">
        <f>'Model S'!$D$12*Supuestos!$K16</f>
        <v>1.06</v>
      </c>
      <c r="N16" s="2">
        <f>'Model S'!$D$13*Supuestos!$K16</f>
        <v>1.1499999999999999</v>
      </c>
      <c r="O16" s="2">
        <f>'Model S'!$D$14*Supuestos!$K16</f>
        <v>1.25</v>
      </c>
      <c r="P16" s="2">
        <f>'Model S'!$D$15*Supuestos!$K16</f>
        <v>1.5</v>
      </c>
      <c r="Q16" s="2">
        <f>'Model S'!$D$16*Supuestos!$K16</f>
        <v>1.65</v>
      </c>
    </row>
    <row r="18" spans="2:17" ht="14.4" thickBot="1" x14ac:dyDescent="0.3"/>
    <row r="19" spans="2:17" ht="14.4" thickBot="1" x14ac:dyDescent="0.3">
      <c r="D19" s="133" t="s">
        <v>35</v>
      </c>
      <c r="E19" s="134"/>
    </row>
    <row r="20" spans="2:17" ht="14.4" thickBot="1" x14ac:dyDescent="0.3">
      <c r="B20" s="28" t="s">
        <v>7</v>
      </c>
      <c r="C20" s="37" t="s">
        <v>17</v>
      </c>
      <c r="D20" s="38" t="s">
        <v>18</v>
      </c>
      <c r="E20" s="39" t="s">
        <v>19</v>
      </c>
    </row>
    <row r="21" spans="2:17" x14ac:dyDescent="0.25">
      <c r="B21" s="2" t="s">
        <v>13</v>
      </c>
      <c r="C21" s="23" t="s">
        <v>8</v>
      </c>
      <c r="D21" s="95">
        <v>1000000</v>
      </c>
      <c r="E21" s="51" t="s">
        <v>14</v>
      </c>
    </row>
    <row r="22" spans="2:17" x14ac:dyDescent="0.25">
      <c r="B22" s="2" t="s">
        <v>13</v>
      </c>
      <c r="C22" s="23" t="s">
        <v>9</v>
      </c>
      <c r="D22" s="95">
        <v>700000</v>
      </c>
      <c r="E22" s="95">
        <v>1000000</v>
      </c>
    </row>
    <row r="23" spans="2:17" x14ac:dyDescent="0.25">
      <c r="B23" s="2" t="s">
        <v>13</v>
      </c>
      <c r="C23" s="23" t="s">
        <v>11</v>
      </c>
      <c r="D23" s="95">
        <v>400000</v>
      </c>
      <c r="E23" s="95">
        <v>700000</v>
      </c>
    </row>
    <row r="24" spans="2:17" x14ac:dyDescent="0.25">
      <c r="B24" s="2" t="s">
        <v>13</v>
      </c>
      <c r="C24" s="23" t="s">
        <v>10</v>
      </c>
      <c r="D24" s="95">
        <v>0</v>
      </c>
      <c r="E24" s="95">
        <v>400000</v>
      </c>
    </row>
    <row r="25" spans="2:17" x14ac:dyDescent="0.25">
      <c r="B25" s="2" t="s">
        <v>13</v>
      </c>
      <c r="C25" s="23" t="s">
        <v>21</v>
      </c>
      <c r="D25" s="95">
        <v>0</v>
      </c>
      <c r="E25" s="95">
        <v>0</v>
      </c>
      <c r="F25" s="1" t="s">
        <v>23</v>
      </c>
    </row>
    <row r="26" spans="2:17" ht="16.2" customHeight="1" x14ac:dyDescent="0.25"/>
    <row r="29" spans="2:17" x14ac:dyDescent="0.25">
      <c r="B29" s="78" t="s">
        <v>85</v>
      </c>
    </row>
    <row r="31" spans="2:17" ht="14.4" thickBot="1" x14ac:dyDescent="0.3">
      <c r="B31" s="40" t="s">
        <v>22</v>
      </c>
      <c r="C31" s="42"/>
      <c r="D31" s="41"/>
      <c r="E31" s="41"/>
      <c r="F31" s="41"/>
      <c r="G31" s="41"/>
      <c r="H31" s="41"/>
      <c r="I31" s="41"/>
      <c r="J31" s="41"/>
      <c r="K31" s="41"/>
      <c r="L31" s="41"/>
      <c r="M31" s="41"/>
      <c r="N31" s="41"/>
      <c r="O31" s="41"/>
      <c r="P31" s="41"/>
      <c r="Q31" s="41"/>
    </row>
    <row r="32" spans="2:17" ht="14.4" thickBot="1" x14ac:dyDescent="0.3">
      <c r="D32" s="130" t="s">
        <v>15</v>
      </c>
      <c r="E32" s="131"/>
      <c r="F32" s="131"/>
      <c r="G32" s="131"/>
      <c r="H32" s="131"/>
      <c r="I32" s="131"/>
      <c r="J32" s="131"/>
      <c r="K32" s="131"/>
      <c r="L32" s="131"/>
      <c r="M32" s="131"/>
      <c r="N32" s="131"/>
      <c r="O32" s="131"/>
      <c r="P32" s="131"/>
      <c r="Q32" s="132"/>
    </row>
    <row r="33" spans="2:17 16384:16384" ht="14.4" thickBot="1" x14ac:dyDescent="0.3">
      <c r="B33" s="28" t="s">
        <v>7</v>
      </c>
      <c r="C33" s="29" t="s">
        <v>17</v>
      </c>
      <c r="D33" s="30">
        <v>0.7</v>
      </c>
      <c r="E33" s="30">
        <v>0.75</v>
      </c>
      <c r="F33" s="30">
        <v>0.8</v>
      </c>
      <c r="G33" s="30">
        <v>0.9</v>
      </c>
      <c r="H33" s="30">
        <v>0.94</v>
      </c>
      <c r="I33" s="30">
        <v>0.96</v>
      </c>
      <c r="J33" s="30">
        <v>0.98</v>
      </c>
      <c r="K33" s="79">
        <v>1</v>
      </c>
      <c r="L33" s="30">
        <v>1.02</v>
      </c>
      <c r="M33" s="30">
        <v>1.04</v>
      </c>
      <c r="N33" s="30">
        <v>1.06</v>
      </c>
      <c r="O33" s="30">
        <v>1.1000000000000001</v>
      </c>
      <c r="P33" s="30">
        <v>1.3</v>
      </c>
      <c r="Q33" s="31">
        <v>1.5</v>
      </c>
    </row>
    <row r="34" spans="2:17 16384:16384" x14ac:dyDescent="0.25">
      <c r="B34" s="25" t="s">
        <v>12</v>
      </c>
      <c r="C34" s="26" t="s">
        <v>14</v>
      </c>
      <c r="D34" s="27">
        <v>0</v>
      </c>
      <c r="E34" s="27">
        <f>'Model S'!$D$24*Supuestos!$K34</f>
        <v>1</v>
      </c>
      <c r="F34" s="27">
        <f>'Model S'!$D$25*Supuestos!$K34</f>
        <v>1.4</v>
      </c>
      <c r="G34" s="27">
        <f>'Model S'!$D$26*Supuestos!$K34</f>
        <v>1.8</v>
      </c>
      <c r="H34" s="27">
        <f>'Model S'!$D$27*Supuestos!$K34</f>
        <v>1.94</v>
      </c>
      <c r="I34" s="27">
        <f>'Model S'!$D$28*Supuestos!$K34</f>
        <v>1.96</v>
      </c>
      <c r="J34" s="27">
        <f>'Model S'!$D$29*Supuestos!$K34</f>
        <v>1.98</v>
      </c>
      <c r="K34" s="80">
        <v>2</v>
      </c>
      <c r="L34" s="32">
        <f>'Model S'!$D$31*Supuestos!$K34</f>
        <v>2.04</v>
      </c>
      <c r="M34" s="32">
        <f>'Model S'!$D$32*Supuestos!$K34</f>
        <v>2.12</v>
      </c>
      <c r="N34" s="32">
        <f>'Model S'!$D$33*Supuestos!$K34</f>
        <v>2.2999999999999998</v>
      </c>
      <c r="O34" s="32">
        <f>'Model S'!$D$34*Supuestos!$K34</f>
        <v>2.5</v>
      </c>
      <c r="P34" s="32">
        <f>'Model S'!$D$35*Supuestos!$K34</f>
        <v>3</v>
      </c>
      <c r="Q34" s="32">
        <f>'Model S'!$D$36*Supuestos!$K34</f>
        <v>3.3</v>
      </c>
    </row>
    <row r="35" spans="2:17 16384:16384" x14ac:dyDescent="0.25">
      <c r="B35" s="2" t="s">
        <v>20</v>
      </c>
      <c r="C35" s="26" t="s">
        <v>14</v>
      </c>
      <c r="D35" s="27">
        <v>0</v>
      </c>
      <c r="E35" s="27">
        <f>'Model S'!$D$24*Supuestos!$K35</f>
        <v>1</v>
      </c>
      <c r="F35" s="27">
        <f>'Model S'!$D$25*Supuestos!$K35</f>
        <v>1.4</v>
      </c>
      <c r="G35" s="27">
        <f>'Model S'!$D$26*Supuestos!$K35</f>
        <v>1.8</v>
      </c>
      <c r="H35" s="27">
        <f>'Model S'!$D$27*Supuestos!$K35</f>
        <v>1.94</v>
      </c>
      <c r="I35" s="27">
        <f>'Model S'!$D$28*Supuestos!$K35</f>
        <v>1.96</v>
      </c>
      <c r="J35" s="27">
        <f>'Model S'!$D$29*Supuestos!$K35</f>
        <v>1.98</v>
      </c>
      <c r="K35" s="81">
        <v>2</v>
      </c>
      <c r="L35" s="32">
        <f>'Model S'!$D$31*Supuestos!$K35</f>
        <v>2.04</v>
      </c>
      <c r="M35" s="32">
        <f>'Model S'!$D$32*Supuestos!$K35</f>
        <v>2.12</v>
      </c>
      <c r="N35" s="32">
        <f>'Model S'!$D$33*Supuestos!$K35</f>
        <v>2.2999999999999998</v>
      </c>
      <c r="O35" s="32">
        <f>'Model S'!$D$34*Supuestos!$K35</f>
        <v>2.5</v>
      </c>
      <c r="P35" s="32">
        <f>'Model S'!$D$35*Supuestos!$K35</f>
        <v>3</v>
      </c>
      <c r="Q35" s="32">
        <f>'Model S'!$D$36*Supuestos!$K35</f>
        <v>3.3</v>
      </c>
    </row>
    <row r="36" spans="2:17 16384:16384" x14ac:dyDescent="0.25">
      <c r="B36" s="2" t="s">
        <v>13</v>
      </c>
      <c r="C36" s="23" t="s">
        <v>8</v>
      </c>
      <c r="D36" s="27">
        <v>0</v>
      </c>
      <c r="E36" s="27">
        <f>'Model S'!$D$24*Supuestos!$K36</f>
        <v>1.5</v>
      </c>
      <c r="F36" s="27">
        <f>'Model S'!$D$25*Supuestos!$K36</f>
        <v>2.0999999999999996</v>
      </c>
      <c r="G36" s="27">
        <f>'Model S'!$D$26*Supuestos!$K36</f>
        <v>2.7</v>
      </c>
      <c r="H36" s="27">
        <f>'Model S'!$D$27*Supuestos!$K36</f>
        <v>2.91</v>
      </c>
      <c r="I36" s="27">
        <f>'Model S'!$D$28*Supuestos!$K36</f>
        <v>2.94</v>
      </c>
      <c r="J36" s="27">
        <f>'Model S'!$D$29*Supuestos!$K36</f>
        <v>2.9699999999999998</v>
      </c>
      <c r="K36" s="81">
        <v>3</v>
      </c>
      <c r="L36" s="32">
        <f>'Model S'!$D$31*Supuestos!$K36</f>
        <v>3.06</v>
      </c>
      <c r="M36" s="32">
        <f>'Model S'!$D$32*Supuestos!$K36</f>
        <v>3.18</v>
      </c>
      <c r="N36" s="32">
        <f>'Model S'!$D$33*Supuestos!$K36</f>
        <v>3.4499999999999997</v>
      </c>
      <c r="O36" s="32">
        <f>'Model S'!$D$34*Supuestos!$K36</f>
        <v>3.75</v>
      </c>
      <c r="P36" s="32">
        <f>'Model S'!$D$35*Supuestos!$K36</f>
        <v>4.5</v>
      </c>
      <c r="Q36" s="32">
        <f>'Model S'!$D$36*Supuestos!$K36</f>
        <v>4.9499999999999993</v>
      </c>
    </row>
    <row r="37" spans="2:17 16384:16384" x14ac:dyDescent="0.25">
      <c r="B37" s="2" t="s">
        <v>13</v>
      </c>
      <c r="C37" s="23" t="s">
        <v>9</v>
      </c>
      <c r="D37" s="27">
        <v>0</v>
      </c>
      <c r="E37" s="27">
        <f>'Model S'!$D$24*Supuestos!$K37</f>
        <v>1</v>
      </c>
      <c r="F37" s="27">
        <f>'Model S'!$D$25*Supuestos!$K37</f>
        <v>1.4</v>
      </c>
      <c r="G37" s="27">
        <f>'Model S'!$D$26*Supuestos!$K37</f>
        <v>1.8</v>
      </c>
      <c r="H37" s="27">
        <f>'Model S'!$D$27*Supuestos!$K37</f>
        <v>1.94</v>
      </c>
      <c r="I37" s="27">
        <f>'Model S'!$D$28*Supuestos!$K37</f>
        <v>1.96</v>
      </c>
      <c r="J37" s="27">
        <f>'Model S'!$D$29*Supuestos!$K37</f>
        <v>1.98</v>
      </c>
      <c r="K37" s="81">
        <v>2</v>
      </c>
      <c r="L37" s="32">
        <f>'Model S'!$D$31*Supuestos!$K37</f>
        <v>2.04</v>
      </c>
      <c r="M37" s="32">
        <f>'Model S'!$D$32*Supuestos!$K37</f>
        <v>2.12</v>
      </c>
      <c r="N37" s="32">
        <f>'Model S'!$D$33*Supuestos!$K37</f>
        <v>2.2999999999999998</v>
      </c>
      <c r="O37" s="32">
        <f>'Model S'!$D$34*Supuestos!$K37</f>
        <v>2.5</v>
      </c>
      <c r="P37" s="32">
        <f>'Model S'!$D$35*Supuestos!$K37</f>
        <v>3</v>
      </c>
      <c r="Q37" s="32">
        <f>'Model S'!$D$36*Supuestos!$K37</f>
        <v>3.3</v>
      </c>
    </row>
    <row r="38" spans="2:17 16384:16384" x14ac:dyDescent="0.25">
      <c r="B38" s="2" t="s">
        <v>13</v>
      </c>
      <c r="C38" s="23" t="s">
        <v>11</v>
      </c>
      <c r="D38" s="27">
        <v>0</v>
      </c>
      <c r="E38" s="27">
        <f>'Model S'!$D$24*Supuestos!$K38</f>
        <v>0.75</v>
      </c>
      <c r="F38" s="27">
        <f>'Model S'!$D$25*Supuestos!$K38</f>
        <v>1.0499999999999998</v>
      </c>
      <c r="G38" s="27">
        <f>'Model S'!$D$26*Supuestos!$K38</f>
        <v>1.35</v>
      </c>
      <c r="H38" s="27">
        <f>'Model S'!$D$27*Supuestos!$K38</f>
        <v>1.4550000000000001</v>
      </c>
      <c r="I38" s="27">
        <f>'Model S'!$D$28*Supuestos!$K38</f>
        <v>1.47</v>
      </c>
      <c r="J38" s="27">
        <f>'Model S'!$D$29*Supuestos!$K38</f>
        <v>1.4849999999999999</v>
      </c>
      <c r="K38" s="81">
        <v>1.5</v>
      </c>
      <c r="L38" s="32">
        <f>'Model S'!$D$31*Supuestos!$K38</f>
        <v>1.53</v>
      </c>
      <c r="M38" s="32">
        <f>'Model S'!$D$32*Supuestos!$K38</f>
        <v>1.59</v>
      </c>
      <c r="N38" s="32">
        <f>'Model S'!$D$33*Supuestos!$K38</f>
        <v>1.7249999999999999</v>
      </c>
      <c r="O38" s="32">
        <f>'Model S'!$D$34*Supuestos!$K38</f>
        <v>1.875</v>
      </c>
      <c r="P38" s="32">
        <f>'Model S'!$D$35*Supuestos!$K38</f>
        <v>2.25</v>
      </c>
      <c r="Q38" s="32">
        <f>'Model S'!$D$36*Supuestos!$K38</f>
        <v>2.4749999999999996</v>
      </c>
    </row>
    <row r="39" spans="2:17 16384:16384" x14ac:dyDescent="0.25">
      <c r="B39" s="2" t="s">
        <v>13</v>
      </c>
      <c r="C39" s="23" t="s">
        <v>10</v>
      </c>
      <c r="D39" s="27">
        <v>0</v>
      </c>
      <c r="E39" s="27">
        <f>'Model S'!$D$24*Supuestos!$K39</f>
        <v>0.5</v>
      </c>
      <c r="F39" s="27">
        <f>'Model S'!$D$25*Supuestos!$K39</f>
        <v>0.7</v>
      </c>
      <c r="G39" s="27">
        <f>'Model S'!$D$26*Supuestos!$K39</f>
        <v>0.9</v>
      </c>
      <c r="H39" s="27">
        <f>'Model S'!$D$27*Supuestos!$K39</f>
        <v>0.97</v>
      </c>
      <c r="I39" s="27">
        <f>'Model S'!$D$28*Supuestos!$K39</f>
        <v>0.98</v>
      </c>
      <c r="J39" s="27">
        <f>'Model S'!$D$29*Supuestos!$K39</f>
        <v>0.99</v>
      </c>
      <c r="K39" s="81">
        <v>1</v>
      </c>
      <c r="L39" s="32">
        <f>'Model S'!$D$31*Supuestos!$K39</f>
        <v>1.02</v>
      </c>
      <c r="M39" s="32">
        <f>'Model S'!$D$32*Supuestos!$K39</f>
        <v>1.06</v>
      </c>
      <c r="N39" s="32">
        <f>'Model S'!$D$33*Supuestos!$K39</f>
        <v>1.1499999999999999</v>
      </c>
      <c r="O39" s="32">
        <f>'Model S'!$D$34*Supuestos!$K39</f>
        <v>1.25</v>
      </c>
      <c r="P39" s="32">
        <f>'Model S'!$D$35*Supuestos!$K39</f>
        <v>1.5</v>
      </c>
      <c r="Q39" s="32">
        <f>'Model S'!$D$36*Supuestos!$K39</f>
        <v>1.65</v>
      </c>
    </row>
    <row r="40" spans="2:17 16384:16384" x14ac:dyDescent="0.25">
      <c r="B40" s="2" t="s">
        <v>13</v>
      </c>
      <c r="C40" s="23" t="s">
        <v>21</v>
      </c>
      <c r="D40" s="27">
        <v>0</v>
      </c>
      <c r="E40" s="27">
        <f>'Model S'!$D$24*Supuestos!$K40</f>
        <v>0.5</v>
      </c>
      <c r="F40" s="27">
        <f>'Model S'!$D$25*Supuestos!$K40</f>
        <v>0.7</v>
      </c>
      <c r="G40" s="27">
        <f>'Model S'!$D$26*Supuestos!$K40</f>
        <v>0.9</v>
      </c>
      <c r="H40" s="27">
        <f>'Model S'!$D$27*Supuestos!$K40</f>
        <v>0.97</v>
      </c>
      <c r="I40" s="27">
        <f>'Model S'!$D$28*Supuestos!$K40</f>
        <v>0.98</v>
      </c>
      <c r="J40" s="27">
        <f>'Model S'!$D$29*Supuestos!$K40</f>
        <v>0.99</v>
      </c>
      <c r="K40" s="81">
        <v>1</v>
      </c>
      <c r="L40" s="32">
        <f>'Model S'!$D$31*Supuestos!$K40</f>
        <v>1.02</v>
      </c>
      <c r="M40" s="32">
        <f>'Model S'!$D$32*Supuestos!$K40</f>
        <v>1.06</v>
      </c>
      <c r="N40" s="32">
        <f>'Model S'!$D$33*Supuestos!$K40</f>
        <v>1.1499999999999999</v>
      </c>
      <c r="O40" s="32">
        <f>'Model S'!$D$34*Supuestos!$K40</f>
        <v>1.25</v>
      </c>
      <c r="P40" s="32">
        <f>'Model S'!$D$35*Supuestos!$K40</f>
        <v>1.5</v>
      </c>
      <c r="Q40" s="32">
        <f>'Model S'!$D$36*Supuestos!$K40</f>
        <v>1.65</v>
      </c>
    </row>
    <row r="41" spans="2:17 16384:16384" x14ac:dyDescent="0.25">
      <c r="B41" s="25" t="s">
        <v>53</v>
      </c>
      <c r="C41" s="26" t="s">
        <v>14</v>
      </c>
      <c r="D41" s="27">
        <v>0</v>
      </c>
      <c r="E41" s="27">
        <f>'Model S'!$D$24*Supuestos!$K41</f>
        <v>1</v>
      </c>
      <c r="F41" s="27">
        <f>'Model S'!$D$25*Supuestos!$K41</f>
        <v>1.4</v>
      </c>
      <c r="G41" s="27">
        <f>'Model S'!$D$26*Supuestos!$K41</f>
        <v>1.8</v>
      </c>
      <c r="H41" s="27">
        <f>'Model S'!$D$27*Supuestos!$K41</f>
        <v>1.94</v>
      </c>
      <c r="I41" s="27">
        <f>'Model S'!$D$28*Supuestos!$K41</f>
        <v>1.96</v>
      </c>
      <c r="J41" s="27">
        <f>'Model S'!$D$29*Supuestos!$K41</f>
        <v>1.98</v>
      </c>
      <c r="K41" s="80">
        <v>2</v>
      </c>
      <c r="L41" s="32">
        <f>'Model S'!$D$31*Supuestos!$K41</f>
        <v>2.04</v>
      </c>
      <c r="M41" s="32">
        <f>'Model S'!$D$32*Supuestos!$K41</f>
        <v>2.12</v>
      </c>
      <c r="N41" s="32">
        <f>'Model S'!$D$33*Supuestos!$K41</f>
        <v>2.2999999999999998</v>
      </c>
      <c r="O41" s="32">
        <f>'Model S'!$D$34*Supuestos!$K41</f>
        <v>2.5</v>
      </c>
      <c r="P41" s="32">
        <f>'Model S'!$D$35*Supuestos!$K41</f>
        <v>3</v>
      </c>
      <c r="Q41" s="32">
        <f>'Model S'!$D$36*Supuestos!$K41</f>
        <v>3.3</v>
      </c>
    </row>
    <row r="42" spans="2:17 16384:16384" x14ac:dyDescent="0.25">
      <c r="B42" s="2" t="s">
        <v>54</v>
      </c>
      <c r="C42" s="26" t="s">
        <v>14</v>
      </c>
      <c r="D42" s="27">
        <v>0</v>
      </c>
      <c r="E42" s="27">
        <f>'Model S'!$D$24*Supuestos!$K42</f>
        <v>1.5</v>
      </c>
      <c r="F42" s="27">
        <f>'Model S'!$D$25*Supuestos!$K42</f>
        <v>2.0999999999999996</v>
      </c>
      <c r="G42" s="27">
        <f>'Model S'!$D$26*Supuestos!$K42</f>
        <v>2.7</v>
      </c>
      <c r="H42" s="27">
        <f>'Model S'!$D$27*Supuestos!$K42</f>
        <v>2.91</v>
      </c>
      <c r="I42" s="27">
        <f>'Model S'!$D$28*Supuestos!$K42</f>
        <v>2.94</v>
      </c>
      <c r="J42" s="27">
        <f>'Model S'!$D$29*Supuestos!$K42</f>
        <v>2.9699999999999998</v>
      </c>
      <c r="K42" s="81">
        <v>3</v>
      </c>
      <c r="L42" s="32">
        <f>'Model S'!$D$31*Supuestos!$K42</f>
        <v>3.06</v>
      </c>
      <c r="M42" s="32">
        <f>'Model S'!$D$32*Supuestos!$K42</f>
        <v>3.18</v>
      </c>
      <c r="N42" s="32">
        <f>'Model S'!$D$33*Supuestos!$K42</f>
        <v>3.4499999999999997</v>
      </c>
      <c r="O42" s="32">
        <f>'Model S'!$D$34*Supuestos!$K42</f>
        <v>3.75</v>
      </c>
      <c r="P42" s="32">
        <f>'Model S'!$D$35*Supuestos!$K42</f>
        <v>4.5</v>
      </c>
      <c r="Q42" s="32">
        <f>'Model S'!$D$36*Supuestos!$K42</f>
        <v>4.9499999999999993</v>
      </c>
    </row>
    <row r="43" spans="2:17 16384:16384" ht="14.4" thickBot="1" x14ac:dyDescent="0.3">
      <c r="B43" s="49"/>
      <c r="C43" s="52"/>
      <c r="D43" s="49"/>
      <c r="E43" s="49"/>
      <c r="F43" s="49"/>
      <c r="G43" s="49"/>
      <c r="H43" s="49"/>
      <c r="I43" s="49"/>
      <c r="J43" s="49"/>
      <c r="K43" s="49"/>
      <c r="L43" s="53"/>
      <c r="M43" s="53"/>
      <c r="N43" s="53"/>
      <c r="O43" s="53"/>
      <c r="P43" s="53"/>
      <c r="Q43" s="53"/>
    </row>
    <row r="44" spans="2:17 16384:16384" ht="14.4" thickBot="1" x14ac:dyDescent="0.3">
      <c r="D44" s="130" t="s">
        <v>16</v>
      </c>
      <c r="E44" s="131"/>
      <c r="F44" s="131"/>
      <c r="G44" s="131"/>
      <c r="H44" s="131"/>
      <c r="I44" s="131"/>
      <c r="J44" s="131"/>
      <c r="K44" s="131"/>
      <c r="L44" s="131"/>
      <c r="M44" s="131"/>
      <c r="N44" s="131"/>
      <c r="O44" s="131"/>
      <c r="P44" s="131"/>
      <c r="Q44" s="132"/>
    </row>
    <row r="45" spans="2:17 16384:16384" ht="14.4" thickBot="1" x14ac:dyDescent="0.3">
      <c r="B45" s="43" t="s">
        <v>7</v>
      </c>
      <c r="D45" s="34">
        <v>0.7</v>
      </c>
      <c r="E45" s="35">
        <v>0.75</v>
      </c>
      <c r="F45" s="35">
        <v>0.8</v>
      </c>
      <c r="G45" s="35">
        <v>0.9</v>
      </c>
      <c r="H45" s="35">
        <v>0.94</v>
      </c>
      <c r="I45" s="35">
        <v>0.96</v>
      </c>
      <c r="J45" s="35">
        <v>0.98</v>
      </c>
      <c r="K45" s="82">
        <v>1</v>
      </c>
      <c r="L45" s="35">
        <v>1.02</v>
      </c>
      <c r="M45" s="35">
        <v>1.04</v>
      </c>
      <c r="N45" s="35">
        <v>1.06</v>
      </c>
      <c r="O45" s="35">
        <v>1.1000000000000001</v>
      </c>
      <c r="P45" s="35">
        <v>1.2</v>
      </c>
      <c r="Q45" s="36">
        <v>1.4</v>
      </c>
    </row>
    <row r="46" spans="2:17 16384:16384" x14ac:dyDescent="0.25">
      <c r="B46" s="44" t="s">
        <v>13</v>
      </c>
      <c r="C46" s="23" t="s">
        <v>14</v>
      </c>
      <c r="D46" s="2">
        <v>0</v>
      </c>
      <c r="E46" s="2">
        <f>'Model S'!$D$24*Supuestos!$K46</f>
        <v>0.5</v>
      </c>
      <c r="F46" s="2">
        <f>'Model S'!$D$25*Supuestos!$K46</f>
        <v>0.7</v>
      </c>
      <c r="G46" s="2">
        <f>'Model S'!$D$26*Supuestos!$K46</f>
        <v>0.9</v>
      </c>
      <c r="H46" s="2">
        <f>'Model S'!$D$27*Supuestos!$K46</f>
        <v>0.97</v>
      </c>
      <c r="I46" s="2">
        <f>'Model S'!$D$28*Supuestos!$K46</f>
        <v>0.98</v>
      </c>
      <c r="J46" s="2">
        <f>'Model S'!$D$29*Supuestos!$K46</f>
        <v>0.99</v>
      </c>
      <c r="K46" s="81">
        <v>1</v>
      </c>
      <c r="L46" s="2">
        <f>'Model S'!$D$31*Supuestos!$K46</f>
        <v>1.02</v>
      </c>
      <c r="M46" s="2">
        <f>'Model S'!$D$32*Supuestos!$K46</f>
        <v>1.06</v>
      </c>
      <c r="N46" s="2">
        <f>'Model S'!$D$33*Supuestos!$K46</f>
        <v>1.1499999999999999</v>
      </c>
      <c r="O46" s="2">
        <f>'Model S'!$D$34*Supuestos!$K46</f>
        <v>1.25</v>
      </c>
      <c r="P46" s="2">
        <f>'Model S'!$D$35*Supuestos!$K46</f>
        <v>1.5</v>
      </c>
      <c r="Q46" s="2">
        <f>'Model S'!$D$36*Supuestos!$K46</f>
        <v>1.65</v>
      </c>
      <c r="XFD46" s="1">
        <f>'Model S'!$D$31*Supuestos!$K46</f>
        <v>1.02</v>
      </c>
    </row>
    <row r="51" spans="1:8" x14ac:dyDescent="0.25">
      <c r="B51" s="135" t="s">
        <v>33</v>
      </c>
      <c r="C51" s="135"/>
      <c r="D51" s="135"/>
      <c r="E51" s="135"/>
      <c r="F51" s="135"/>
      <c r="G51" s="135"/>
      <c r="H51" s="135"/>
    </row>
    <row r="53" spans="1:8" x14ac:dyDescent="0.25">
      <c r="B53" s="3" t="s">
        <v>24</v>
      </c>
      <c r="C53" s="48">
        <v>45107</v>
      </c>
      <c r="D53" s="47">
        <f>C53-15</f>
        <v>45092</v>
      </c>
    </row>
    <row r="54" spans="1:8" x14ac:dyDescent="0.25">
      <c r="B54" s="3" t="s">
        <v>37</v>
      </c>
      <c r="C54" s="48">
        <f>C53-30</f>
        <v>45077</v>
      </c>
      <c r="D54" s="47">
        <f>C54-15</f>
        <v>45062</v>
      </c>
    </row>
    <row r="55" spans="1:8" x14ac:dyDescent="0.25">
      <c r="B55" s="3" t="s">
        <v>56</v>
      </c>
      <c r="C55" s="48">
        <f>C54-31</f>
        <v>45046</v>
      </c>
      <c r="D55" s="47">
        <f>C55-15</f>
        <v>45031</v>
      </c>
    </row>
    <row r="56" spans="1:8" x14ac:dyDescent="0.25">
      <c r="B56" s="3" t="s">
        <v>57</v>
      </c>
      <c r="C56" s="48">
        <f>C55-30</f>
        <v>45016</v>
      </c>
      <c r="D56" s="47">
        <f>C56-15</f>
        <v>45001</v>
      </c>
    </row>
    <row r="57" spans="1:8" x14ac:dyDescent="0.25">
      <c r="B57" s="3" t="s">
        <v>58</v>
      </c>
      <c r="C57" s="48">
        <f>C54-31</f>
        <v>45046</v>
      </c>
      <c r="D57" s="47">
        <f>C57-15</f>
        <v>45031</v>
      </c>
    </row>
    <row r="59" spans="1:8" x14ac:dyDescent="0.25">
      <c r="A59" s="54">
        <v>2</v>
      </c>
      <c r="B59" s="46" t="s">
        <v>32</v>
      </c>
    </row>
    <row r="60" spans="1:8" x14ac:dyDescent="0.25">
      <c r="A60" s="54"/>
      <c r="B60" s="3" t="s">
        <v>7</v>
      </c>
      <c r="C60" s="22" t="s">
        <v>26</v>
      </c>
      <c r="D60" s="22" t="s">
        <v>30</v>
      </c>
      <c r="E60" s="22" t="s">
        <v>31</v>
      </c>
    </row>
    <row r="61" spans="1:8" x14ac:dyDescent="0.25">
      <c r="A61" s="54"/>
      <c r="B61" s="2" t="s">
        <v>12</v>
      </c>
      <c r="C61" s="45">
        <v>0.5</v>
      </c>
      <c r="D61" s="45">
        <v>0.25</v>
      </c>
      <c r="E61" s="45">
        <v>0.25</v>
      </c>
    </row>
    <row r="62" spans="1:8" x14ac:dyDescent="0.25">
      <c r="A62" s="54"/>
      <c r="B62" s="2" t="s">
        <v>20</v>
      </c>
      <c r="C62" s="45">
        <v>0.5</v>
      </c>
      <c r="D62" s="45">
        <v>0.25</v>
      </c>
      <c r="E62" s="45">
        <v>0.25</v>
      </c>
    </row>
    <row r="63" spans="1:8" x14ac:dyDescent="0.25">
      <c r="A63" s="54"/>
      <c r="B63" s="2" t="s">
        <v>13</v>
      </c>
      <c r="C63" s="45">
        <v>0.5</v>
      </c>
      <c r="D63" s="45">
        <v>0.25</v>
      </c>
      <c r="E63" s="45">
        <v>0.25</v>
      </c>
    </row>
    <row r="64" spans="1:8" x14ac:dyDescent="0.25">
      <c r="A64" s="54"/>
    </row>
    <row r="65" spans="1:6" x14ac:dyDescent="0.25">
      <c r="A65" s="54">
        <v>3</v>
      </c>
      <c r="B65" s="46" t="s">
        <v>38</v>
      </c>
    </row>
    <row r="66" spans="1:6" x14ac:dyDescent="0.25">
      <c r="A66" s="54"/>
      <c r="B66" s="3" t="s">
        <v>7</v>
      </c>
      <c r="C66" s="22" t="s">
        <v>28</v>
      </c>
      <c r="D66" s="22" t="s">
        <v>27</v>
      </c>
      <c r="E66" s="22" t="s">
        <v>30</v>
      </c>
      <c r="F66" s="22" t="s">
        <v>31</v>
      </c>
    </row>
    <row r="67" spans="1:6" x14ac:dyDescent="0.25">
      <c r="A67" s="54"/>
      <c r="B67" s="2" t="s">
        <v>13</v>
      </c>
      <c r="C67" s="45">
        <v>0.05</v>
      </c>
      <c r="D67" s="45">
        <f>C63-C67</f>
        <v>0.45</v>
      </c>
      <c r="E67" s="45">
        <v>0.25</v>
      </c>
      <c r="F67" s="45">
        <v>0.25</v>
      </c>
    </row>
    <row r="68" spans="1:6" x14ac:dyDescent="0.25">
      <c r="A68" s="54"/>
    </row>
    <row r="69" spans="1:6" x14ac:dyDescent="0.25">
      <c r="A69" s="54">
        <v>4</v>
      </c>
      <c r="B69" s="46" t="s">
        <v>39</v>
      </c>
    </row>
    <row r="70" spans="1:6" x14ac:dyDescent="0.25">
      <c r="A70" s="54"/>
      <c r="B70" s="3" t="s">
        <v>7</v>
      </c>
      <c r="C70" s="22" t="s">
        <v>28</v>
      </c>
      <c r="D70" s="22" t="s">
        <v>27</v>
      </c>
      <c r="E70" s="22" t="s">
        <v>30</v>
      </c>
      <c r="F70" s="22" t="s">
        <v>31</v>
      </c>
    </row>
    <row r="71" spans="1:6" x14ac:dyDescent="0.25">
      <c r="A71" s="54"/>
      <c r="B71" s="2" t="s">
        <v>13</v>
      </c>
      <c r="C71" s="45">
        <v>0.1</v>
      </c>
      <c r="D71" s="45">
        <f>C63-C71</f>
        <v>0.4</v>
      </c>
      <c r="E71" s="45">
        <v>0.25</v>
      </c>
      <c r="F71" s="45">
        <v>0.25</v>
      </c>
    </row>
    <row r="72" spans="1:6" x14ac:dyDescent="0.25">
      <c r="A72" s="54"/>
    </row>
    <row r="73" spans="1:6" x14ac:dyDescent="0.25">
      <c r="A73" s="54">
        <v>5</v>
      </c>
      <c r="B73" s="46" t="s">
        <v>40</v>
      </c>
    </row>
    <row r="74" spans="1:6" x14ac:dyDescent="0.25">
      <c r="A74" s="54"/>
      <c r="B74" s="3" t="s">
        <v>7</v>
      </c>
      <c r="C74" s="22" t="s">
        <v>28</v>
      </c>
      <c r="D74" s="22" t="s">
        <v>27</v>
      </c>
      <c r="E74" s="22" t="s">
        <v>30</v>
      </c>
      <c r="F74" s="22" t="s">
        <v>31</v>
      </c>
    </row>
    <row r="75" spans="1:6" x14ac:dyDescent="0.25">
      <c r="A75" s="54"/>
      <c r="B75" s="2" t="s">
        <v>13</v>
      </c>
      <c r="C75" s="45">
        <v>0.15</v>
      </c>
      <c r="D75" s="45">
        <f>C63-C75</f>
        <v>0.35</v>
      </c>
      <c r="E75" s="45">
        <v>0.25</v>
      </c>
      <c r="F75" s="45">
        <v>0.25</v>
      </c>
    </row>
    <row r="76" spans="1:6" x14ac:dyDescent="0.25">
      <c r="A76" s="54"/>
      <c r="B76" s="49"/>
      <c r="C76" s="50"/>
      <c r="D76" s="50"/>
      <c r="E76" s="50"/>
      <c r="F76" s="50"/>
    </row>
    <row r="77" spans="1:6" x14ac:dyDescent="0.25">
      <c r="A77" s="54">
        <v>6</v>
      </c>
      <c r="B77" s="46" t="s">
        <v>41</v>
      </c>
    </row>
    <row r="78" spans="1:6" x14ac:dyDescent="0.25">
      <c r="A78" s="54"/>
      <c r="B78" s="3" t="s">
        <v>7</v>
      </c>
      <c r="C78" s="22" t="s">
        <v>28</v>
      </c>
      <c r="D78" s="22" t="s">
        <v>27</v>
      </c>
      <c r="E78" s="22" t="s">
        <v>30</v>
      </c>
      <c r="F78" s="22" t="s">
        <v>31</v>
      </c>
    </row>
    <row r="79" spans="1:6" x14ac:dyDescent="0.25">
      <c r="A79" s="54"/>
      <c r="B79" s="2" t="s">
        <v>13</v>
      </c>
      <c r="C79" s="45">
        <v>0.2</v>
      </c>
      <c r="D79" s="45">
        <f>C63-C79</f>
        <v>0.3</v>
      </c>
      <c r="E79" s="45">
        <v>0.25</v>
      </c>
      <c r="F79" s="45">
        <v>0.25</v>
      </c>
    </row>
    <row r="80" spans="1:6" x14ac:dyDescent="0.25">
      <c r="A80" s="54"/>
    </row>
    <row r="81" spans="1:19" x14ac:dyDescent="0.25">
      <c r="A81" s="54">
        <v>1</v>
      </c>
      <c r="B81" s="46" t="s">
        <v>29</v>
      </c>
    </row>
    <row r="82" spans="1:19" x14ac:dyDescent="0.25">
      <c r="A82" s="54"/>
      <c r="B82" s="3" t="s">
        <v>7</v>
      </c>
      <c r="C82" s="22" t="s">
        <v>26</v>
      </c>
      <c r="D82" s="22" t="s">
        <v>30</v>
      </c>
      <c r="E82" s="22" t="s">
        <v>31</v>
      </c>
    </row>
    <row r="83" spans="1:19" x14ac:dyDescent="0.25">
      <c r="A83" s="54"/>
      <c r="B83" s="2" t="s">
        <v>12</v>
      </c>
      <c r="C83" s="45">
        <v>0</v>
      </c>
      <c r="D83" s="45">
        <v>0.5</v>
      </c>
      <c r="E83" s="45">
        <v>0.5</v>
      </c>
    </row>
    <row r="84" spans="1:19" x14ac:dyDescent="0.25">
      <c r="B84" s="2" t="s">
        <v>20</v>
      </c>
      <c r="C84" s="45">
        <v>0</v>
      </c>
      <c r="D84" s="45">
        <v>0.5</v>
      </c>
      <c r="E84" s="45">
        <v>0.5</v>
      </c>
    </row>
    <row r="85" spans="1:19" x14ac:dyDescent="0.25">
      <c r="B85" s="2" t="s">
        <v>13</v>
      </c>
      <c r="C85" s="45">
        <v>0</v>
      </c>
      <c r="D85" s="45">
        <v>0.5</v>
      </c>
      <c r="E85" s="45">
        <v>0.5</v>
      </c>
    </row>
    <row r="87" spans="1:19" x14ac:dyDescent="0.25">
      <c r="B87" s="137" t="s">
        <v>68</v>
      </c>
      <c r="C87" s="137"/>
      <c r="D87" s="137"/>
      <c r="E87" s="137"/>
      <c r="F87" s="137"/>
      <c r="G87" s="137"/>
      <c r="H87" s="137"/>
    </row>
    <row r="88" spans="1:19" x14ac:dyDescent="0.25">
      <c r="J88" s="60" t="s">
        <v>69</v>
      </c>
      <c r="K88" s="59"/>
      <c r="L88" s="59"/>
      <c r="M88" s="59"/>
      <c r="N88" s="59"/>
      <c r="O88" s="59"/>
      <c r="P88" s="59"/>
      <c r="Q88" s="59"/>
      <c r="R88" s="59"/>
      <c r="S88" s="59"/>
    </row>
    <row r="89" spans="1:19" x14ac:dyDescent="0.25">
      <c r="B89" s="3" t="s">
        <v>24</v>
      </c>
      <c r="C89" s="23" t="s">
        <v>25</v>
      </c>
      <c r="J89" s="59" t="s">
        <v>70</v>
      </c>
      <c r="K89" s="59"/>
      <c r="L89" s="59"/>
      <c r="M89" s="59"/>
      <c r="N89" s="59"/>
      <c r="O89" s="59"/>
      <c r="P89" s="59"/>
      <c r="Q89" s="59"/>
      <c r="R89" s="59"/>
      <c r="S89" s="59"/>
    </row>
    <row r="90" spans="1:19" x14ac:dyDescent="0.25">
      <c r="J90" s="59" t="s">
        <v>71</v>
      </c>
      <c r="K90" s="59"/>
      <c r="L90" s="59"/>
      <c r="M90" s="59"/>
      <c r="N90" s="59"/>
      <c r="O90" s="59"/>
      <c r="P90" s="59"/>
      <c r="Q90" s="59"/>
      <c r="R90" s="59"/>
      <c r="S90" s="59"/>
    </row>
    <row r="91" spans="1:19" ht="13.8" customHeight="1" x14ac:dyDescent="0.25">
      <c r="B91" s="46" t="s">
        <v>32</v>
      </c>
      <c r="J91" s="136" t="s">
        <v>72</v>
      </c>
      <c r="K91" s="136"/>
      <c r="L91" s="136"/>
      <c r="M91" s="136"/>
      <c r="N91" s="136"/>
      <c r="O91" s="136"/>
      <c r="P91" s="136"/>
      <c r="Q91" s="136"/>
      <c r="R91" s="136"/>
      <c r="S91" s="136"/>
    </row>
    <row r="92" spans="1:19" x14ac:dyDescent="0.25">
      <c r="B92" s="3" t="s">
        <v>7</v>
      </c>
      <c r="C92" s="22" t="s">
        <v>26</v>
      </c>
      <c r="D92" s="22" t="s">
        <v>73</v>
      </c>
      <c r="J92" s="136"/>
      <c r="K92" s="136"/>
      <c r="L92" s="136"/>
      <c r="M92" s="136"/>
      <c r="N92" s="136"/>
      <c r="O92" s="136"/>
      <c r="P92" s="136"/>
      <c r="Q92" s="136"/>
      <c r="R92" s="136"/>
      <c r="S92" s="136"/>
    </row>
    <row r="93" spans="1:19" x14ac:dyDescent="0.25">
      <c r="B93" s="2" t="s">
        <v>13</v>
      </c>
      <c r="C93" s="45">
        <v>0.5</v>
      </c>
      <c r="D93" s="45">
        <v>0.5</v>
      </c>
      <c r="J93" s="136" t="s">
        <v>74</v>
      </c>
      <c r="K93" s="136"/>
      <c r="L93" s="136"/>
      <c r="M93" s="136"/>
      <c r="N93" s="136"/>
      <c r="O93" s="136"/>
      <c r="P93" s="136"/>
      <c r="Q93" s="136"/>
      <c r="R93" s="136"/>
      <c r="S93" s="136"/>
    </row>
    <row r="94" spans="1:19" ht="13.8" customHeight="1" x14ac:dyDescent="0.25">
      <c r="J94" s="136"/>
      <c r="K94" s="136"/>
      <c r="L94" s="136"/>
      <c r="M94" s="136"/>
      <c r="N94" s="136"/>
      <c r="O94" s="136"/>
      <c r="P94" s="136"/>
      <c r="Q94" s="136"/>
      <c r="R94" s="136"/>
      <c r="S94" s="136"/>
    </row>
    <row r="95" spans="1:19" x14ac:dyDescent="0.25">
      <c r="J95" s="65"/>
      <c r="K95" s="65"/>
      <c r="L95" s="65"/>
      <c r="M95" s="65"/>
      <c r="N95" s="65"/>
      <c r="O95" s="65"/>
      <c r="P95" s="65"/>
      <c r="Q95" s="65"/>
      <c r="R95" s="65"/>
      <c r="S95" s="65"/>
    </row>
    <row r="96" spans="1:19" x14ac:dyDescent="0.25">
      <c r="B96" s="46" t="s">
        <v>29</v>
      </c>
      <c r="J96" s="59"/>
      <c r="K96" s="59"/>
      <c r="L96" s="59"/>
      <c r="M96" s="59"/>
      <c r="N96" s="59"/>
      <c r="O96" s="59"/>
      <c r="P96" s="59"/>
      <c r="Q96" s="59"/>
      <c r="R96" s="59"/>
      <c r="S96" s="59"/>
    </row>
    <row r="97" spans="1:19" x14ac:dyDescent="0.25">
      <c r="B97" s="3" t="s">
        <v>7</v>
      </c>
      <c r="C97" s="22" t="s">
        <v>26</v>
      </c>
      <c r="D97" s="22" t="s">
        <v>30</v>
      </c>
      <c r="E97" s="22" t="s">
        <v>31</v>
      </c>
      <c r="J97" s="59"/>
      <c r="K97" s="59"/>
      <c r="L97" s="59"/>
      <c r="M97" s="59"/>
      <c r="N97" s="59"/>
      <c r="O97" s="59"/>
      <c r="P97" s="59"/>
      <c r="Q97" s="59"/>
      <c r="R97" s="59"/>
      <c r="S97" s="59"/>
    </row>
    <row r="98" spans="1:19" x14ac:dyDescent="0.25">
      <c r="B98" s="2" t="s">
        <v>13</v>
      </c>
      <c r="C98" s="45">
        <v>0</v>
      </c>
      <c r="D98" s="45">
        <v>0.5</v>
      </c>
      <c r="E98" s="45">
        <v>0.5</v>
      </c>
      <c r="J98" s="59"/>
      <c r="K98" s="59"/>
      <c r="L98" s="59"/>
      <c r="M98" s="59"/>
      <c r="N98" s="59"/>
      <c r="O98" s="59"/>
      <c r="P98" s="59"/>
      <c r="Q98" s="59"/>
      <c r="R98" s="59"/>
      <c r="S98" s="59"/>
    </row>
    <row r="99" spans="1:19" x14ac:dyDescent="0.25">
      <c r="J99" s="59"/>
      <c r="K99" s="59"/>
      <c r="L99" s="59"/>
      <c r="M99" s="59"/>
      <c r="N99" s="59"/>
      <c r="O99" s="59"/>
      <c r="P99" s="59"/>
      <c r="Q99" s="59"/>
      <c r="R99" s="59"/>
      <c r="S99" s="59"/>
    </row>
    <row r="103" spans="1:19" x14ac:dyDescent="0.25">
      <c r="B103" s="64" t="s">
        <v>63</v>
      </c>
      <c r="C103" s="62"/>
      <c r="D103" s="61"/>
      <c r="E103" s="61"/>
      <c r="F103" s="61"/>
      <c r="G103" s="58"/>
      <c r="H103" s="58"/>
    </row>
    <row r="105" spans="1:19" x14ac:dyDescent="0.25">
      <c r="B105" s="3" t="s">
        <v>24</v>
      </c>
      <c r="C105" s="48">
        <v>45107</v>
      </c>
      <c r="D105" s="47">
        <f>C105-15</f>
        <v>45092</v>
      </c>
      <c r="J105" s="60" t="s">
        <v>75</v>
      </c>
      <c r="K105" s="59"/>
      <c r="L105" s="59"/>
      <c r="M105" s="59"/>
      <c r="N105" s="59"/>
      <c r="O105" s="59"/>
      <c r="P105" s="59"/>
      <c r="Q105" s="59"/>
      <c r="R105" s="59"/>
      <c r="S105" s="59"/>
    </row>
    <row r="106" spans="1:19" ht="13.8" customHeight="1" x14ac:dyDescent="0.25">
      <c r="B106" s="1" t="s">
        <v>65</v>
      </c>
      <c r="C106" s="48">
        <f>C105-30</f>
        <v>45077</v>
      </c>
      <c r="J106" s="136" t="s">
        <v>81</v>
      </c>
      <c r="K106" s="136"/>
      <c r="L106" s="136"/>
      <c r="M106" s="136"/>
      <c r="N106" s="136"/>
      <c r="O106" s="136"/>
      <c r="P106" s="136"/>
      <c r="Q106" s="136"/>
      <c r="R106" s="136"/>
      <c r="S106" s="136"/>
    </row>
    <row r="107" spans="1:19" x14ac:dyDescent="0.25">
      <c r="B107" s="1" t="s">
        <v>104</v>
      </c>
      <c r="C107" s="90">
        <v>44757</v>
      </c>
      <c r="J107" s="136"/>
      <c r="K107" s="136"/>
      <c r="L107" s="136"/>
      <c r="M107" s="136"/>
      <c r="N107" s="136"/>
      <c r="O107" s="136"/>
      <c r="P107" s="136"/>
      <c r="Q107" s="136"/>
      <c r="R107" s="136"/>
      <c r="S107" s="136"/>
    </row>
    <row r="108" spans="1:19" x14ac:dyDescent="0.25">
      <c r="C108" s="1"/>
      <c r="J108" s="63"/>
      <c r="K108" s="136" t="s">
        <v>76</v>
      </c>
      <c r="L108" s="136"/>
      <c r="M108" s="136"/>
      <c r="N108" s="136"/>
      <c r="O108" s="136"/>
      <c r="P108" s="136"/>
      <c r="Q108" s="136"/>
      <c r="R108" s="136"/>
      <c r="S108" s="136"/>
    </row>
    <row r="109" spans="1:19" x14ac:dyDescent="0.25">
      <c r="A109" s="54">
        <v>1</v>
      </c>
      <c r="B109" s="46" t="s">
        <v>32</v>
      </c>
      <c r="J109" s="63"/>
      <c r="K109" s="136"/>
      <c r="L109" s="136"/>
      <c r="M109" s="136"/>
      <c r="N109" s="136"/>
      <c r="O109" s="136"/>
      <c r="P109" s="136"/>
      <c r="Q109" s="136"/>
      <c r="R109" s="136"/>
      <c r="S109" s="136"/>
    </row>
    <row r="110" spans="1:19" x14ac:dyDescent="0.25">
      <c r="A110" s="54"/>
      <c r="B110" s="3" t="s">
        <v>7</v>
      </c>
      <c r="C110" s="22" t="s">
        <v>26</v>
      </c>
      <c r="D110" s="22" t="s">
        <v>30</v>
      </c>
      <c r="E110" s="22" t="s">
        <v>31</v>
      </c>
      <c r="J110" s="59"/>
      <c r="K110" s="136"/>
      <c r="L110" s="136"/>
      <c r="M110" s="136"/>
      <c r="N110" s="136"/>
      <c r="O110" s="136"/>
      <c r="P110" s="136"/>
      <c r="Q110" s="136"/>
      <c r="R110" s="136"/>
      <c r="S110" s="136"/>
    </row>
    <row r="111" spans="1:19" x14ac:dyDescent="0.25">
      <c r="A111" s="54"/>
      <c r="B111" s="2" t="s">
        <v>12</v>
      </c>
      <c r="C111" s="45">
        <v>0.5</v>
      </c>
      <c r="D111" s="45">
        <v>0.25</v>
      </c>
      <c r="E111" s="45">
        <v>0.25</v>
      </c>
      <c r="J111" s="59"/>
      <c r="K111" s="136"/>
      <c r="L111" s="136"/>
      <c r="M111" s="136"/>
      <c r="N111" s="136"/>
      <c r="O111" s="136"/>
      <c r="P111" s="136"/>
      <c r="Q111" s="136"/>
      <c r="R111" s="136"/>
      <c r="S111" s="136"/>
    </row>
    <row r="112" spans="1:19" x14ac:dyDescent="0.25">
      <c r="A112" s="54"/>
      <c r="B112" s="2" t="s">
        <v>20</v>
      </c>
      <c r="C112" s="45">
        <v>0.5</v>
      </c>
      <c r="D112" s="45">
        <v>0.25</v>
      </c>
      <c r="E112" s="45">
        <v>0.25</v>
      </c>
      <c r="J112" s="59"/>
      <c r="K112" s="136" t="s">
        <v>77</v>
      </c>
      <c r="L112" s="136"/>
      <c r="M112" s="136"/>
      <c r="N112" s="136"/>
      <c r="O112" s="136"/>
      <c r="P112" s="136"/>
      <c r="Q112" s="136"/>
      <c r="R112" s="136"/>
      <c r="S112" s="136"/>
    </row>
    <row r="113" spans="1:19" x14ac:dyDescent="0.25">
      <c r="A113" s="54"/>
      <c r="B113" s="2" t="s">
        <v>13</v>
      </c>
      <c r="C113" s="45">
        <v>0.5</v>
      </c>
      <c r="D113" s="45">
        <v>0.25</v>
      </c>
      <c r="E113" s="45">
        <v>0.25</v>
      </c>
      <c r="J113" s="59"/>
      <c r="K113" s="136"/>
      <c r="L113" s="136"/>
      <c r="M113" s="136"/>
      <c r="N113" s="136"/>
      <c r="O113" s="136"/>
      <c r="P113" s="136"/>
      <c r="Q113" s="136"/>
      <c r="R113" s="136"/>
      <c r="S113" s="136"/>
    </row>
    <row r="114" spans="1:19" x14ac:dyDescent="0.25">
      <c r="C114" s="1"/>
      <c r="J114" s="59"/>
      <c r="K114" s="136"/>
      <c r="L114" s="136"/>
      <c r="M114" s="136"/>
      <c r="N114" s="136"/>
      <c r="O114" s="136"/>
      <c r="P114" s="136"/>
      <c r="Q114" s="136"/>
      <c r="R114" s="136"/>
      <c r="S114" s="136"/>
    </row>
    <row r="115" spans="1:19" x14ac:dyDescent="0.25">
      <c r="A115" s="54">
        <v>2</v>
      </c>
      <c r="B115" s="46" t="s">
        <v>64</v>
      </c>
      <c r="J115" s="59"/>
      <c r="K115" s="136"/>
      <c r="L115" s="136"/>
      <c r="M115" s="136"/>
      <c r="N115" s="136"/>
      <c r="O115" s="136"/>
      <c r="P115" s="136"/>
      <c r="Q115" s="136"/>
      <c r="R115" s="136"/>
      <c r="S115" s="136"/>
    </row>
    <row r="116" spans="1:19" ht="13.8" customHeight="1" x14ac:dyDescent="0.25">
      <c r="A116" s="54"/>
      <c r="B116" s="3" t="s">
        <v>7</v>
      </c>
      <c r="C116" s="22" t="s">
        <v>28</v>
      </c>
      <c r="D116" s="22" t="s">
        <v>27</v>
      </c>
      <c r="E116" s="22" t="s">
        <v>30</v>
      </c>
      <c r="F116" s="22" t="s">
        <v>31</v>
      </c>
      <c r="J116" s="59"/>
      <c r="K116" s="136" t="s">
        <v>78</v>
      </c>
      <c r="L116" s="136"/>
      <c r="M116" s="136"/>
      <c r="N116" s="136"/>
      <c r="O116" s="136"/>
      <c r="P116" s="136"/>
      <c r="Q116" s="136"/>
      <c r="R116" s="136"/>
      <c r="S116" s="136"/>
    </row>
    <row r="117" spans="1:19" x14ac:dyDescent="0.25">
      <c r="A117" s="54"/>
      <c r="B117" s="2" t="s">
        <v>13</v>
      </c>
      <c r="C117" s="45">
        <v>0.1</v>
      </c>
      <c r="D117" s="45">
        <f>C113-C117</f>
        <v>0.4</v>
      </c>
      <c r="E117" s="45">
        <v>0.25</v>
      </c>
      <c r="F117" s="45">
        <v>0.25</v>
      </c>
      <c r="J117" s="59"/>
      <c r="K117" s="136"/>
      <c r="L117" s="136"/>
      <c r="M117" s="136"/>
      <c r="N117" s="136"/>
      <c r="O117" s="136"/>
      <c r="P117" s="136"/>
      <c r="Q117" s="136"/>
      <c r="R117" s="136"/>
      <c r="S117" s="136"/>
    </row>
    <row r="118" spans="1:19" x14ac:dyDescent="0.25">
      <c r="C118" s="1"/>
      <c r="J118" s="59"/>
      <c r="K118" s="63"/>
      <c r="L118" s="63"/>
      <c r="M118" s="63"/>
      <c r="N118" s="63"/>
      <c r="O118" s="63"/>
      <c r="P118" s="63"/>
      <c r="Q118" s="63"/>
      <c r="R118" s="63"/>
      <c r="S118" s="63"/>
    </row>
    <row r="119" spans="1:19" ht="13.8" customHeight="1" x14ac:dyDescent="0.25">
      <c r="A119" s="54">
        <v>3</v>
      </c>
      <c r="B119" s="46" t="s">
        <v>67</v>
      </c>
      <c r="J119" s="136" t="s">
        <v>79</v>
      </c>
      <c r="K119" s="136"/>
      <c r="L119" s="136"/>
      <c r="M119" s="136"/>
      <c r="N119" s="136"/>
      <c r="O119" s="136"/>
      <c r="P119" s="136"/>
      <c r="Q119" s="136"/>
      <c r="R119" s="136"/>
      <c r="S119" s="136"/>
    </row>
    <row r="120" spans="1:19" x14ac:dyDescent="0.25">
      <c r="A120" s="54"/>
      <c r="B120" s="3" t="s">
        <v>7</v>
      </c>
      <c r="C120" s="22" t="s">
        <v>26</v>
      </c>
      <c r="D120" s="22" t="s">
        <v>30</v>
      </c>
      <c r="E120" s="22" t="s">
        <v>31</v>
      </c>
      <c r="J120" s="136"/>
      <c r="K120" s="136"/>
      <c r="L120" s="136"/>
      <c r="M120" s="136"/>
      <c r="N120" s="136"/>
      <c r="O120" s="136"/>
      <c r="P120" s="136"/>
      <c r="Q120" s="136"/>
      <c r="R120" s="136"/>
      <c r="S120" s="136"/>
    </row>
    <row r="121" spans="1:19" x14ac:dyDescent="0.25">
      <c r="A121" s="54"/>
      <c r="B121" s="2" t="s">
        <v>12</v>
      </c>
      <c r="C121" s="45">
        <v>0</v>
      </c>
      <c r="D121" s="45">
        <v>0.5</v>
      </c>
      <c r="E121" s="45">
        <v>0.5</v>
      </c>
      <c r="J121" s="136"/>
      <c r="K121" s="136"/>
      <c r="L121" s="136"/>
      <c r="M121" s="136"/>
      <c r="N121" s="136"/>
      <c r="O121" s="136"/>
      <c r="P121" s="136"/>
      <c r="Q121" s="136"/>
      <c r="R121" s="136"/>
      <c r="S121" s="136"/>
    </row>
    <row r="122" spans="1:19" x14ac:dyDescent="0.25">
      <c r="B122" s="2" t="s">
        <v>20</v>
      </c>
      <c r="C122" s="45">
        <v>0</v>
      </c>
      <c r="D122" s="45">
        <v>0.5</v>
      </c>
      <c r="E122" s="45">
        <v>0.5</v>
      </c>
      <c r="J122" s="136"/>
      <c r="K122" s="136"/>
      <c r="L122" s="136"/>
      <c r="M122" s="136"/>
      <c r="N122" s="136"/>
      <c r="O122" s="136"/>
      <c r="P122" s="136"/>
      <c r="Q122" s="136"/>
      <c r="R122" s="136"/>
      <c r="S122" s="136"/>
    </row>
    <row r="123" spans="1:19" x14ac:dyDescent="0.25">
      <c r="B123" s="2" t="s">
        <v>13</v>
      </c>
      <c r="C123" s="45">
        <v>0</v>
      </c>
      <c r="D123" s="45">
        <v>0.5</v>
      </c>
      <c r="E123" s="45">
        <v>0.5</v>
      </c>
      <c r="J123" s="136"/>
      <c r="K123" s="136"/>
      <c r="L123" s="136"/>
      <c r="M123" s="136"/>
      <c r="N123" s="136"/>
      <c r="O123" s="136"/>
      <c r="P123" s="136"/>
      <c r="Q123" s="136"/>
      <c r="R123" s="136"/>
      <c r="S123" s="136"/>
    </row>
    <row r="124" spans="1:19" x14ac:dyDescent="0.25">
      <c r="J124" s="136" t="s">
        <v>80</v>
      </c>
      <c r="K124" s="136"/>
      <c r="L124" s="136"/>
      <c r="M124" s="136"/>
      <c r="N124" s="136"/>
      <c r="O124" s="136"/>
      <c r="P124" s="136"/>
      <c r="Q124" s="136"/>
      <c r="R124" s="136"/>
      <c r="S124" s="136"/>
    </row>
    <row r="125" spans="1:19" x14ac:dyDescent="0.25">
      <c r="J125" s="63"/>
      <c r="K125" s="63"/>
      <c r="L125" s="63"/>
      <c r="M125" s="63"/>
      <c r="N125" s="63"/>
      <c r="O125" s="63"/>
      <c r="P125" s="63"/>
      <c r="Q125" s="63"/>
      <c r="R125" s="63"/>
      <c r="S125" s="63"/>
    </row>
    <row r="126" spans="1:19" x14ac:dyDescent="0.25">
      <c r="J126" s="63"/>
      <c r="K126" s="63"/>
      <c r="L126" s="63"/>
      <c r="M126" s="63"/>
      <c r="N126" s="63"/>
      <c r="O126" s="63"/>
      <c r="P126" s="63"/>
      <c r="Q126" s="63"/>
      <c r="R126" s="63"/>
      <c r="S126" s="63"/>
    </row>
    <row r="139" spans="2:2" x14ac:dyDescent="0.25">
      <c r="B139" s="91" t="s">
        <v>112</v>
      </c>
    </row>
    <row r="140" spans="2:2" x14ac:dyDescent="0.25">
      <c r="B140" s="25" t="s">
        <v>12</v>
      </c>
    </row>
    <row r="141" spans="2:2" x14ac:dyDescent="0.25">
      <c r="B141" s="2" t="s">
        <v>20</v>
      </c>
    </row>
    <row r="142" spans="2:2" x14ac:dyDescent="0.25">
      <c r="B142" s="2" t="s">
        <v>13</v>
      </c>
    </row>
    <row r="143" spans="2:2" x14ac:dyDescent="0.25">
      <c r="B143" s="25" t="s">
        <v>53</v>
      </c>
    </row>
    <row r="144" spans="2:2" x14ac:dyDescent="0.25">
      <c r="B144" s="2" t="s">
        <v>54</v>
      </c>
    </row>
  </sheetData>
  <mergeCells count="15">
    <mergeCell ref="J119:S123"/>
    <mergeCell ref="J124:S124"/>
    <mergeCell ref="J106:S107"/>
    <mergeCell ref="K108:S111"/>
    <mergeCell ref="J91:S92"/>
    <mergeCell ref="J93:S94"/>
    <mergeCell ref="K112:S115"/>
    <mergeCell ref="D2:Q2"/>
    <mergeCell ref="D14:Q14"/>
    <mergeCell ref="D19:E19"/>
    <mergeCell ref="B51:H51"/>
    <mergeCell ref="K116:S117"/>
    <mergeCell ref="D32:Q32"/>
    <mergeCell ref="D44:Q44"/>
    <mergeCell ref="B87:H87"/>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204AE-F8A9-4042-91B5-3EB3261D5CA5}">
  <sheetPr>
    <tabColor theme="0"/>
  </sheetPr>
  <dimension ref="B2:R41"/>
  <sheetViews>
    <sheetView zoomScale="62" zoomScaleNormal="55" workbookViewId="0">
      <selection activeCell="F24" sqref="B24:Q51"/>
    </sheetView>
  </sheetViews>
  <sheetFormatPr defaultColWidth="8.69921875" defaultRowHeight="13.8" x14ac:dyDescent="0.25"/>
  <cols>
    <col min="1" max="1" width="1.59765625" style="1" customWidth="1"/>
    <col min="2" max="2" width="19.5" style="1" bestFit="1" customWidth="1"/>
    <col min="3" max="3" width="36.5" style="1" bestFit="1" customWidth="1"/>
    <col min="4" max="4" width="34.59765625" style="1" bestFit="1" customWidth="1"/>
    <col min="5" max="5" width="27.5" style="1" bestFit="1" customWidth="1"/>
    <col min="6" max="6" width="32.69921875" style="16" bestFit="1" customWidth="1"/>
    <col min="7" max="7" width="28.59765625" style="1" bestFit="1" customWidth="1"/>
    <col min="8" max="8" width="26.19921875" style="1" customWidth="1"/>
    <col min="9" max="9" width="24.69921875" style="49" bestFit="1" customWidth="1"/>
    <col min="10" max="10" width="8.69921875" style="1"/>
    <col min="11" max="11" width="24.69921875" style="1" bestFit="1" customWidth="1"/>
    <col min="12" max="12" width="16.19921875" style="1" customWidth="1"/>
    <col min="13" max="16384" width="8.69921875" style="1"/>
  </cols>
  <sheetData>
    <row r="2" spans="2:14" x14ac:dyDescent="0.25">
      <c r="B2" s="13" t="s">
        <v>0</v>
      </c>
      <c r="C2" s="13" t="s">
        <v>6</v>
      </c>
      <c r="D2" s="13" t="s">
        <v>2</v>
      </c>
      <c r="E2" s="17" t="s">
        <v>3</v>
      </c>
      <c r="F2" s="13" t="s">
        <v>1</v>
      </c>
      <c r="G2" s="40" t="s">
        <v>82</v>
      </c>
      <c r="H2" s="17" t="s">
        <v>83</v>
      </c>
      <c r="I2" s="76"/>
      <c r="K2" s="20" t="s">
        <v>4</v>
      </c>
      <c r="M2" s="11" t="s">
        <v>5</v>
      </c>
      <c r="N2" s="8"/>
    </row>
    <row r="3" spans="2:14" x14ac:dyDescent="0.25">
      <c r="B3" s="5">
        <v>0.6</v>
      </c>
      <c r="C3" s="12" t="e">
        <f>B3*$K$3</f>
        <v>#REF!</v>
      </c>
      <c r="D3" s="5">
        <v>0</v>
      </c>
      <c r="E3" s="66" t="e">
        <f t="shared" ref="E3:E8" si="0">D3*$E$10</f>
        <v>#REF!</v>
      </c>
      <c r="F3" s="12">
        <v>0</v>
      </c>
      <c r="G3" s="72">
        <v>0</v>
      </c>
      <c r="H3" s="66">
        <v>0</v>
      </c>
      <c r="I3" s="71"/>
      <c r="K3" s="6" t="e">
        <f>#REF!/L8</f>
        <v>#REF!</v>
      </c>
      <c r="M3" s="10">
        <v>0.01</v>
      </c>
      <c r="N3" s="9">
        <v>0.05</v>
      </c>
    </row>
    <row r="4" spans="2:14" x14ac:dyDescent="0.25">
      <c r="B4" s="5">
        <v>0.75</v>
      </c>
      <c r="C4" s="12" t="e">
        <f t="shared" ref="C4:C16" si="1">B4*$K$3</f>
        <v>#REF!</v>
      </c>
      <c r="D4" s="5">
        <v>0.5</v>
      </c>
      <c r="E4" s="66" t="e">
        <f t="shared" si="0"/>
        <v>#REF!</v>
      </c>
      <c r="F4" s="12" t="e">
        <f>E4*$K$3*D4</f>
        <v>#REF!</v>
      </c>
      <c r="G4" s="72" t="e">
        <f>F4+#REF!</f>
        <v>#REF!</v>
      </c>
      <c r="H4" s="66" t="e">
        <f t="shared" ref="H4:H8" si="2">$H$10*D4</f>
        <v>#REF!</v>
      </c>
      <c r="I4" s="71"/>
      <c r="J4" s="19"/>
      <c r="K4" s="55" t="s">
        <v>62</v>
      </c>
    </row>
    <row r="5" spans="2:14" x14ac:dyDescent="0.25">
      <c r="B5" s="5">
        <v>0.8</v>
      </c>
      <c r="C5" s="12" t="e">
        <f t="shared" si="1"/>
        <v>#REF!</v>
      </c>
      <c r="D5" s="5">
        <v>0.7</v>
      </c>
      <c r="E5" s="66" t="e">
        <f t="shared" si="0"/>
        <v>#REF!</v>
      </c>
      <c r="F5" s="12" t="e">
        <f t="shared" ref="F5:F16" si="3">E5*$K$3*D5</f>
        <v>#REF!</v>
      </c>
      <c r="G5" s="72" t="e">
        <f>F5+#REF!</f>
        <v>#REF!</v>
      </c>
      <c r="H5" s="66" t="e">
        <f t="shared" si="2"/>
        <v>#REF!</v>
      </c>
      <c r="I5" s="71"/>
    </row>
    <row r="6" spans="2:14" x14ac:dyDescent="0.25">
      <c r="B6" s="5">
        <v>0.9</v>
      </c>
      <c r="C6" s="12" t="e">
        <f t="shared" si="1"/>
        <v>#REF!</v>
      </c>
      <c r="D6" s="5">
        <v>0.9</v>
      </c>
      <c r="E6" s="66" t="e">
        <f t="shared" si="0"/>
        <v>#REF!</v>
      </c>
      <c r="F6" s="12" t="e">
        <f t="shared" si="3"/>
        <v>#REF!</v>
      </c>
      <c r="G6" s="72" t="e">
        <f>F6+#REF!</f>
        <v>#REF!</v>
      </c>
      <c r="H6" s="66" t="e">
        <f t="shared" si="2"/>
        <v>#REF!</v>
      </c>
      <c r="I6" s="71"/>
    </row>
    <row r="7" spans="2:14" x14ac:dyDescent="0.25">
      <c r="B7" s="5">
        <v>0.94</v>
      </c>
      <c r="C7" s="12" t="e">
        <f t="shared" si="1"/>
        <v>#REF!</v>
      </c>
      <c r="D7" s="5">
        <v>0.97</v>
      </c>
      <c r="E7" s="66" t="e">
        <f t="shared" si="0"/>
        <v>#REF!</v>
      </c>
      <c r="F7" s="12" t="e">
        <f t="shared" si="3"/>
        <v>#REF!</v>
      </c>
      <c r="G7" s="72" t="e">
        <f>F7+#REF!</f>
        <v>#REF!</v>
      </c>
      <c r="H7" s="66" t="e">
        <f t="shared" si="2"/>
        <v>#REF!</v>
      </c>
      <c r="I7" s="71"/>
      <c r="K7" s="7" t="s">
        <v>84</v>
      </c>
      <c r="L7" s="1">
        <v>100</v>
      </c>
    </row>
    <row r="8" spans="2:14" x14ac:dyDescent="0.25">
      <c r="B8" s="5">
        <v>0.96</v>
      </c>
      <c r="C8" s="12" t="e">
        <f t="shared" si="1"/>
        <v>#REF!</v>
      </c>
      <c r="D8" s="5">
        <v>0.98</v>
      </c>
      <c r="E8" s="66" t="e">
        <f t="shared" si="0"/>
        <v>#REF!</v>
      </c>
      <c r="F8" s="12" t="e">
        <f t="shared" si="3"/>
        <v>#REF!</v>
      </c>
      <c r="G8" s="72" t="e">
        <f>F8+#REF!</f>
        <v>#REF!</v>
      </c>
      <c r="H8" s="66" t="e">
        <f t="shared" si="2"/>
        <v>#REF!</v>
      </c>
      <c r="I8" s="71"/>
      <c r="J8" s="7"/>
      <c r="L8" s="1">
        <v>1000</v>
      </c>
    </row>
    <row r="9" spans="2:14" x14ac:dyDescent="0.25">
      <c r="B9" s="5">
        <v>0.98</v>
      </c>
      <c r="C9" s="12" t="e">
        <f t="shared" si="1"/>
        <v>#REF!</v>
      </c>
      <c r="D9" s="5">
        <v>0.99</v>
      </c>
      <c r="E9" s="66" t="e">
        <f>D9*$E$10</f>
        <v>#REF!</v>
      </c>
      <c r="F9" s="12" t="e">
        <f t="shared" si="3"/>
        <v>#REF!</v>
      </c>
      <c r="G9" s="72" t="e">
        <f>F9+#REF!</f>
        <v>#REF!</v>
      </c>
      <c r="H9" s="66" t="e">
        <f>$H$10*D9</f>
        <v>#REF!</v>
      </c>
      <c r="I9" s="71"/>
      <c r="L9" s="1">
        <v>10000</v>
      </c>
    </row>
    <row r="10" spans="2:14" x14ac:dyDescent="0.25">
      <c r="B10" s="14">
        <v>1</v>
      </c>
      <c r="C10" s="75" t="e">
        <f>B10*$K$3</f>
        <v>#REF!</v>
      </c>
      <c r="D10" s="14">
        <v>1</v>
      </c>
      <c r="E10" s="67" t="e">
        <f>#REF!</f>
        <v>#REF!</v>
      </c>
      <c r="F10" s="68" t="e">
        <f t="shared" si="3"/>
        <v>#REF!</v>
      </c>
      <c r="G10" s="68" t="e">
        <f>F10+#REF!</f>
        <v>#REF!</v>
      </c>
      <c r="H10" s="67" t="e">
        <f>#REF!</f>
        <v>#REF!</v>
      </c>
      <c r="I10" s="71"/>
    </row>
    <row r="11" spans="2:14" x14ac:dyDescent="0.25">
      <c r="B11" s="5">
        <v>1.02</v>
      </c>
      <c r="C11" s="12" t="e">
        <f t="shared" si="1"/>
        <v>#REF!</v>
      </c>
      <c r="D11" s="5">
        <v>1.02</v>
      </c>
      <c r="E11" s="66" t="e">
        <f>D11*$E$10</f>
        <v>#REF!</v>
      </c>
      <c r="F11" s="72" t="e">
        <f t="shared" si="3"/>
        <v>#REF!</v>
      </c>
      <c r="G11" s="72" t="e">
        <f>F11+#REF!</f>
        <v>#REF!</v>
      </c>
      <c r="H11" s="73" t="e">
        <f>$H$10*D11</f>
        <v>#REF!</v>
      </c>
      <c r="I11" s="77"/>
    </row>
    <row r="12" spans="2:14" x14ac:dyDescent="0.25">
      <c r="B12" s="5">
        <v>1.04</v>
      </c>
      <c r="C12" s="12" t="e">
        <f t="shared" si="1"/>
        <v>#REF!</v>
      </c>
      <c r="D12" s="5">
        <v>1.06</v>
      </c>
      <c r="E12" s="66" t="e">
        <f t="shared" ref="E12:E16" si="4">D12*$E$10</f>
        <v>#REF!</v>
      </c>
      <c r="F12" s="12" t="e">
        <f t="shared" si="3"/>
        <v>#REF!</v>
      </c>
      <c r="G12" s="72" t="e">
        <f>F12+#REF!</f>
        <v>#REF!</v>
      </c>
      <c r="H12" s="73" t="e">
        <f t="shared" ref="H12:H16" si="5">$H$10*D12</f>
        <v>#REF!</v>
      </c>
      <c r="I12" s="77"/>
    </row>
    <row r="13" spans="2:14" x14ac:dyDescent="0.25">
      <c r="B13" s="5">
        <v>1.06</v>
      </c>
      <c r="C13" s="12" t="e">
        <f t="shared" si="1"/>
        <v>#REF!</v>
      </c>
      <c r="D13" s="5">
        <v>1.1499999999999999</v>
      </c>
      <c r="E13" s="66" t="e">
        <f t="shared" si="4"/>
        <v>#REF!</v>
      </c>
      <c r="F13" s="12" t="e">
        <f t="shared" si="3"/>
        <v>#REF!</v>
      </c>
      <c r="G13" s="72" t="e">
        <f>F13+#REF!</f>
        <v>#REF!</v>
      </c>
      <c r="H13" s="73" t="e">
        <f t="shared" si="5"/>
        <v>#REF!</v>
      </c>
      <c r="I13" s="77"/>
    </row>
    <row r="14" spans="2:14" x14ac:dyDescent="0.25">
      <c r="B14" s="5">
        <v>1.1000000000000001</v>
      </c>
      <c r="C14" s="12" t="e">
        <f t="shared" si="1"/>
        <v>#REF!</v>
      </c>
      <c r="D14" s="5">
        <v>1.25</v>
      </c>
      <c r="E14" s="66" t="e">
        <f t="shared" si="4"/>
        <v>#REF!</v>
      </c>
      <c r="F14" s="12" t="e">
        <f t="shared" si="3"/>
        <v>#REF!</v>
      </c>
      <c r="G14" s="72" t="e">
        <f>F14+#REF!</f>
        <v>#REF!</v>
      </c>
      <c r="H14" s="73" t="e">
        <f t="shared" si="5"/>
        <v>#REF!</v>
      </c>
      <c r="I14" s="77"/>
    </row>
    <row r="15" spans="2:14" x14ac:dyDescent="0.25">
      <c r="B15" s="5">
        <v>1.2</v>
      </c>
      <c r="C15" s="12" t="e">
        <f t="shared" si="1"/>
        <v>#REF!</v>
      </c>
      <c r="D15" s="5">
        <v>1.5</v>
      </c>
      <c r="E15" s="66" t="e">
        <f t="shared" si="4"/>
        <v>#REF!</v>
      </c>
      <c r="F15" s="12" t="e">
        <f t="shared" si="3"/>
        <v>#REF!</v>
      </c>
      <c r="G15" s="72" t="e">
        <f>F15+#REF!</f>
        <v>#REF!</v>
      </c>
      <c r="H15" s="73" t="e">
        <f t="shared" si="5"/>
        <v>#REF!</v>
      </c>
      <c r="I15" s="77"/>
    </row>
    <row r="16" spans="2:14" x14ac:dyDescent="0.25">
      <c r="B16" s="5">
        <v>1.4</v>
      </c>
      <c r="C16" s="12" t="e">
        <f t="shared" si="1"/>
        <v>#REF!</v>
      </c>
      <c r="D16" s="5">
        <v>1.65</v>
      </c>
      <c r="E16" s="66" t="e">
        <f t="shared" si="4"/>
        <v>#REF!</v>
      </c>
      <c r="F16" s="12" t="e">
        <f t="shared" si="3"/>
        <v>#REF!</v>
      </c>
      <c r="G16" s="72" t="e">
        <f>F16+#REF!</f>
        <v>#REF!</v>
      </c>
      <c r="H16" s="73" t="e">
        <f t="shared" si="5"/>
        <v>#REF!</v>
      </c>
      <c r="I16" s="77"/>
    </row>
    <row r="17" spans="2:18" x14ac:dyDescent="0.25">
      <c r="B17" s="2"/>
      <c r="C17" s="56"/>
      <c r="D17" s="2"/>
      <c r="E17" s="2"/>
      <c r="F17" s="18"/>
      <c r="G17" s="2"/>
      <c r="H17" s="2"/>
    </row>
    <row r="20" spans="2:18" x14ac:dyDescent="0.25">
      <c r="B20" s="78" t="s">
        <v>87</v>
      </c>
    </row>
    <row r="21" spans="2:18" x14ac:dyDescent="0.25">
      <c r="F21" s="1"/>
    </row>
    <row r="22" spans="2:18" x14ac:dyDescent="0.25">
      <c r="B22" s="83" t="s">
        <v>86</v>
      </c>
      <c r="C22" s="83" t="s">
        <v>6</v>
      </c>
      <c r="D22" s="83" t="s">
        <v>2</v>
      </c>
      <c r="E22" s="84" t="s">
        <v>3</v>
      </c>
      <c r="F22" s="83" t="s">
        <v>1</v>
      </c>
      <c r="G22" s="83" t="s">
        <v>82</v>
      </c>
      <c r="H22" s="84" t="s">
        <v>83</v>
      </c>
    </row>
    <row r="23" spans="2:18" x14ac:dyDescent="0.25">
      <c r="B23" s="5">
        <v>0.7</v>
      </c>
      <c r="C23" s="12" t="e">
        <f>B23*$K$3</f>
        <v>#REF!</v>
      </c>
      <c r="D23" s="5">
        <v>0</v>
      </c>
      <c r="E23" s="66">
        <v>0</v>
      </c>
      <c r="F23" s="12">
        <v>0</v>
      </c>
      <c r="G23" s="72">
        <v>0</v>
      </c>
      <c r="H23" s="66">
        <v>0</v>
      </c>
    </row>
    <row r="24" spans="2:18" x14ac:dyDescent="0.25">
      <c r="B24" s="5">
        <v>0.75</v>
      </c>
      <c r="C24" s="12" t="e">
        <f t="shared" ref="C24:C36" si="6">B24*$K$3</f>
        <v>#REF!</v>
      </c>
      <c r="D24" s="5">
        <v>0.5</v>
      </c>
      <c r="E24" s="66" t="e">
        <f t="shared" ref="E24:E28" si="7">$E$30*D24</f>
        <v>#REF!</v>
      </c>
      <c r="F24" s="12" t="e">
        <f t="shared" ref="F24:F36" si="8">E24*$K$3*D24</f>
        <v>#REF!</v>
      </c>
      <c r="G24" s="72" t="e">
        <f>F24+#REF!</f>
        <v>#REF!</v>
      </c>
      <c r="H24" s="66" t="e">
        <f t="shared" ref="H24:H28" si="9">$H$30*D24</f>
        <v>#REF!</v>
      </c>
    </row>
    <row r="25" spans="2:18" x14ac:dyDescent="0.25">
      <c r="B25" s="5">
        <v>0.8</v>
      </c>
      <c r="C25" s="12" t="e">
        <f t="shared" si="6"/>
        <v>#REF!</v>
      </c>
      <c r="D25" s="5">
        <v>0.7</v>
      </c>
      <c r="E25" s="66" t="e">
        <f t="shared" si="7"/>
        <v>#REF!</v>
      </c>
      <c r="F25" s="12" t="e">
        <f t="shared" si="8"/>
        <v>#REF!</v>
      </c>
      <c r="G25" s="72" t="e">
        <f>F25+#REF!</f>
        <v>#REF!</v>
      </c>
      <c r="H25" s="66" t="e">
        <f t="shared" si="9"/>
        <v>#REF!</v>
      </c>
      <c r="I25" s="70"/>
      <c r="J25" s="21"/>
      <c r="K25" s="16"/>
      <c r="L25" s="16"/>
      <c r="M25" s="16"/>
      <c r="N25" s="16"/>
      <c r="O25" s="16"/>
      <c r="P25" s="16"/>
      <c r="Q25" s="16"/>
      <c r="R25" s="16"/>
    </row>
    <row r="26" spans="2:18" x14ac:dyDescent="0.25">
      <c r="B26" s="5">
        <v>0.9</v>
      </c>
      <c r="C26" s="12" t="e">
        <f t="shared" si="6"/>
        <v>#REF!</v>
      </c>
      <c r="D26" s="5">
        <v>0.9</v>
      </c>
      <c r="E26" s="66" t="e">
        <f t="shared" si="7"/>
        <v>#REF!</v>
      </c>
      <c r="F26" s="12" t="e">
        <f t="shared" si="8"/>
        <v>#REF!</v>
      </c>
      <c r="G26" s="72" t="e">
        <f>F26+#REF!</f>
        <v>#REF!</v>
      </c>
      <c r="H26" s="66" t="e">
        <f t="shared" si="9"/>
        <v>#REF!</v>
      </c>
    </row>
    <row r="27" spans="2:18" x14ac:dyDescent="0.25">
      <c r="B27" s="5">
        <v>0.94</v>
      </c>
      <c r="C27" s="12" t="e">
        <f t="shared" si="6"/>
        <v>#REF!</v>
      </c>
      <c r="D27" s="5">
        <v>0.97</v>
      </c>
      <c r="E27" s="66" t="e">
        <f t="shared" si="7"/>
        <v>#REF!</v>
      </c>
      <c r="F27" s="12" t="e">
        <f t="shared" si="8"/>
        <v>#REF!</v>
      </c>
      <c r="G27" s="72" t="e">
        <f>F27+#REF!</f>
        <v>#REF!</v>
      </c>
      <c r="H27" s="66" t="e">
        <f t="shared" si="9"/>
        <v>#REF!</v>
      </c>
    </row>
    <row r="28" spans="2:18" x14ac:dyDescent="0.25">
      <c r="B28" s="5">
        <v>0.96</v>
      </c>
      <c r="C28" s="12" t="e">
        <f t="shared" si="6"/>
        <v>#REF!</v>
      </c>
      <c r="D28" s="5">
        <v>0.98</v>
      </c>
      <c r="E28" s="66" t="e">
        <f t="shared" si="7"/>
        <v>#REF!</v>
      </c>
      <c r="F28" s="12" t="e">
        <f t="shared" si="8"/>
        <v>#REF!</v>
      </c>
      <c r="G28" s="72" t="e">
        <f>F28+#REF!</f>
        <v>#REF!</v>
      </c>
      <c r="H28" s="66" t="e">
        <f t="shared" si="9"/>
        <v>#REF!</v>
      </c>
    </row>
    <row r="29" spans="2:18" x14ac:dyDescent="0.25">
      <c r="B29" s="5">
        <v>0.98</v>
      </c>
      <c r="C29" s="12" t="e">
        <f t="shared" si="6"/>
        <v>#REF!</v>
      </c>
      <c r="D29" s="5">
        <v>0.99</v>
      </c>
      <c r="E29" s="66" t="e">
        <f>$E$30*D29</f>
        <v>#REF!</v>
      </c>
      <c r="F29" s="12" t="e">
        <f t="shared" si="8"/>
        <v>#REF!</v>
      </c>
      <c r="G29" s="72" t="e">
        <f>F29+#REF!</f>
        <v>#REF!</v>
      </c>
      <c r="H29" s="66" t="e">
        <f>$H$30*D29</f>
        <v>#REF!</v>
      </c>
    </row>
    <row r="30" spans="2:18" x14ac:dyDescent="0.25">
      <c r="B30" s="85">
        <v>1</v>
      </c>
      <c r="C30" s="86" t="e">
        <f>B30*$K$3</f>
        <v>#REF!</v>
      </c>
      <c r="D30" s="85">
        <v>1</v>
      </c>
      <c r="E30" s="87" t="e">
        <f>#REF!</f>
        <v>#REF!</v>
      </c>
      <c r="F30" s="88" t="e">
        <f t="shared" si="8"/>
        <v>#REF!</v>
      </c>
      <c r="G30" s="88" t="e">
        <f>F30+#REF!</f>
        <v>#REF!</v>
      </c>
      <c r="H30" s="87" t="e">
        <f>#REF!</f>
        <v>#REF!</v>
      </c>
    </row>
    <row r="31" spans="2:18" x14ac:dyDescent="0.25">
      <c r="B31" s="5">
        <v>1.02</v>
      </c>
      <c r="C31" s="12" t="e">
        <f>B31*$K$3</f>
        <v>#REF!</v>
      </c>
      <c r="D31" s="5">
        <v>1.02</v>
      </c>
      <c r="E31" s="66" t="e">
        <f>$E$30*D31</f>
        <v>#REF!</v>
      </c>
      <c r="F31" s="72" t="e">
        <f t="shared" si="8"/>
        <v>#REF!</v>
      </c>
      <c r="G31" s="72" t="e">
        <f>F31+#REF!</f>
        <v>#REF!</v>
      </c>
      <c r="H31" s="73" t="e">
        <f>$H$30*D31</f>
        <v>#REF!</v>
      </c>
    </row>
    <row r="32" spans="2:18" x14ac:dyDescent="0.25">
      <c r="B32" s="5">
        <v>1.04</v>
      </c>
      <c r="C32" s="12" t="e">
        <f t="shared" si="6"/>
        <v>#REF!</v>
      </c>
      <c r="D32" s="5">
        <v>1.06</v>
      </c>
      <c r="E32" s="66" t="e">
        <f t="shared" ref="E32:E36" si="10">$E$30*D32</f>
        <v>#REF!</v>
      </c>
      <c r="F32" s="12" t="e">
        <f t="shared" si="8"/>
        <v>#REF!</v>
      </c>
      <c r="G32" s="72" t="e">
        <f>F32+#REF!</f>
        <v>#REF!</v>
      </c>
      <c r="H32" s="73" t="e">
        <f t="shared" ref="H32:H35" si="11">$H$30*D32</f>
        <v>#REF!</v>
      </c>
    </row>
    <row r="33" spans="2:18" x14ac:dyDescent="0.25">
      <c r="B33" s="5">
        <v>1.06</v>
      </c>
      <c r="C33" s="12" t="e">
        <f t="shared" si="6"/>
        <v>#REF!</v>
      </c>
      <c r="D33" s="5">
        <v>1.1499999999999999</v>
      </c>
      <c r="E33" s="66" t="e">
        <f t="shared" si="10"/>
        <v>#REF!</v>
      </c>
      <c r="F33" s="12" t="e">
        <f t="shared" si="8"/>
        <v>#REF!</v>
      </c>
      <c r="G33" s="72" t="e">
        <f>F33+#REF!</f>
        <v>#REF!</v>
      </c>
      <c r="H33" s="73" t="e">
        <f t="shared" si="11"/>
        <v>#REF!</v>
      </c>
    </row>
    <row r="34" spans="2:18" x14ac:dyDescent="0.25">
      <c r="B34" s="5">
        <v>1.1000000000000001</v>
      </c>
      <c r="C34" s="12" t="e">
        <f t="shared" si="6"/>
        <v>#REF!</v>
      </c>
      <c r="D34" s="5">
        <v>1.25</v>
      </c>
      <c r="E34" s="66" t="e">
        <f t="shared" si="10"/>
        <v>#REF!</v>
      </c>
      <c r="F34" s="12" t="e">
        <f t="shared" si="8"/>
        <v>#REF!</v>
      </c>
      <c r="G34" s="72" t="e">
        <f>F34+#REF!</f>
        <v>#REF!</v>
      </c>
      <c r="H34" s="73" t="e">
        <f t="shared" si="11"/>
        <v>#REF!</v>
      </c>
    </row>
    <row r="35" spans="2:18" x14ac:dyDescent="0.25">
      <c r="B35" s="5">
        <v>1.3</v>
      </c>
      <c r="C35" s="12" t="e">
        <f t="shared" si="6"/>
        <v>#REF!</v>
      </c>
      <c r="D35" s="5">
        <v>1.5</v>
      </c>
      <c r="E35" s="66" t="e">
        <f t="shared" si="10"/>
        <v>#REF!</v>
      </c>
      <c r="F35" s="12" t="e">
        <f t="shared" si="8"/>
        <v>#REF!</v>
      </c>
      <c r="G35" s="72" t="e">
        <f>F35+#REF!</f>
        <v>#REF!</v>
      </c>
      <c r="H35" s="73" t="e">
        <f t="shared" si="11"/>
        <v>#REF!</v>
      </c>
    </row>
    <row r="36" spans="2:18" x14ac:dyDescent="0.25">
      <c r="B36" s="5">
        <v>1.5</v>
      </c>
      <c r="C36" s="12" t="e">
        <f t="shared" si="6"/>
        <v>#REF!</v>
      </c>
      <c r="D36" s="5">
        <v>1.65</v>
      </c>
      <c r="E36" s="66" t="e">
        <f t="shared" si="10"/>
        <v>#REF!</v>
      </c>
      <c r="F36" s="12" t="e">
        <f t="shared" si="8"/>
        <v>#REF!</v>
      </c>
      <c r="G36" s="72" t="e">
        <f>F36+#REF!</f>
        <v>#REF!</v>
      </c>
      <c r="H36" s="73" t="e">
        <f>$H$30*D36</f>
        <v>#REF!</v>
      </c>
    </row>
    <row r="38" spans="2:18" x14ac:dyDescent="0.25">
      <c r="F38" s="1"/>
    </row>
    <row r="39" spans="2:18" x14ac:dyDescent="0.25">
      <c r="E39" s="4"/>
      <c r="F39" s="4"/>
      <c r="G39" s="4"/>
      <c r="H39" s="4"/>
      <c r="I39" s="69"/>
      <c r="J39" s="4"/>
      <c r="K39" s="4"/>
      <c r="L39" s="4"/>
      <c r="M39" s="4"/>
      <c r="N39" s="4"/>
      <c r="O39" s="4"/>
      <c r="P39" s="4"/>
      <c r="Q39" s="4"/>
      <c r="R39" s="4"/>
    </row>
    <row r="41" spans="2:18" x14ac:dyDescent="0.25">
      <c r="G41" s="89"/>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AF97-0F05-4765-93E5-F5DF27265B7B}">
  <dimension ref="B1:I79"/>
  <sheetViews>
    <sheetView tabSelected="1" zoomScaleNormal="100" workbookViewId="0">
      <selection activeCell="C20" sqref="C20"/>
    </sheetView>
  </sheetViews>
  <sheetFormatPr defaultRowHeight="13.8" x14ac:dyDescent="0.25"/>
  <cols>
    <col min="1" max="2" width="8.796875" style="1"/>
    <col min="3" max="3" width="76.69921875" style="1" bestFit="1" customWidth="1"/>
    <col min="4" max="4" width="17.5" style="1" customWidth="1"/>
    <col min="5" max="8" width="8.796875" style="1"/>
    <col min="9" max="9" width="30.69921875" style="1" bestFit="1" customWidth="1"/>
    <col min="10" max="16384" width="8.796875" style="1"/>
  </cols>
  <sheetData>
    <row r="1" spans="3:4" ht="14.4" thickBot="1" x14ac:dyDescent="0.3"/>
    <row r="2" spans="3:4" x14ac:dyDescent="0.25">
      <c r="C2" s="149" t="s">
        <v>121</v>
      </c>
      <c r="D2" s="150"/>
    </row>
    <row r="3" spans="3:4" x14ac:dyDescent="0.25">
      <c r="C3" s="151"/>
      <c r="D3" s="152"/>
    </row>
    <row r="4" spans="3:4" x14ac:dyDescent="0.25">
      <c r="C4" s="151"/>
      <c r="D4" s="152"/>
    </row>
    <row r="5" spans="3:4" ht="13.8" customHeight="1" thickBot="1" x14ac:dyDescent="0.3">
      <c r="C5" s="153"/>
      <c r="D5" s="154"/>
    </row>
    <row r="6" spans="3:4" ht="14.4" x14ac:dyDescent="0.3">
      <c r="C6" s="109" t="s">
        <v>7</v>
      </c>
      <c r="D6" s="110" t="s">
        <v>53</v>
      </c>
    </row>
    <row r="7" spans="3:4" x14ac:dyDescent="0.25">
      <c r="C7" s="111" t="s">
        <v>97</v>
      </c>
      <c r="D7" s="112">
        <v>0</v>
      </c>
    </row>
    <row r="8" spans="3:4" ht="4.2" customHeight="1" x14ac:dyDescent="0.25">
      <c r="C8" s="109"/>
      <c r="D8" s="113"/>
    </row>
    <row r="9" spans="3:4" ht="14.4" x14ac:dyDescent="0.3">
      <c r="C9" s="114" t="s">
        <v>106</v>
      </c>
      <c r="D9" s="115" t="s">
        <v>34</v>
      </c>
    </row>
    <row r="10" spans="3:4" ht="14.4" x14ac:dyDescent="0.3">
      <c r="C10" s="109" t="s">
        <v>55</v>
      </c>
      <c r="D10" s="116" t="s">
        <v>34</v>
      </c>
    </row>
    <row r="11" spans="3:4" ht="14.4" x14ac:dyDescent="0.3">
      <c r="C11" s="111" t="s">
        <v>89</v>
      </c>
      <c r="D11" s="117" t="s">
        <v>34</v>
      </c>
    </row>
    <row r="12" spans="3:4" ht="4.2" customHeight="1" x14ac:dyDescent="0.25">
      <c r="C12" s="109"/>
      <c r="D12" s="113"/>
    </row>
    <row r="13" spans="3:4" ht="14.4" x14ac:dyDescent="0.3">
      <c r="C13" s="118" t="s">
        <v>118</v>
      </c>
      <c r="D13" s="115" t="s">
        <v>34</v>
      </c>
    </row>
    <row r="14" spans="3:4" ht="14.4" x14ac:dyDescent="0.3">
      <c r="C14" s="111" t="s">
        <v>117</v>
      </c>
      <c r="D14" s="117" t="s">
        <v>34</v>
      </c>
    </row>
    <row r="15" spans="3:4" ht="4.2" customHeight="1" x14ac:dyDescent="0.25">
      <c r="C15" s="109"/>
      <c r="D15" s="119"/>
    </row>
    <row r="16" spans="3:4" ht="14.4" x14ac:dyDescent="0.3">
      <c r="C16" s="114" t="s">
        <v>113</v>
      </c>
      <c r="D16" s="115" t="s">
        <v>34</v>
      </c>
    </row>
    <row r="17" spans="2:9" x14ac:dyDescent="0.25">
      <c r="C17" s="111" t="s">
        <v>114</v>
      </c>
      <c r="D17" s="120">
        <v>1</v>
      </c>
    </row>
    <row r="18" spans="2:9" ht="4.2" customHeight="1" x14ac:dyDescent="0.25">
      <c r="C18" s="109"/>
      <c r="D18" s="119"/>
    </row>
    <row r="19" spans="2:9" x14ac:dyDescent="0.25">
      <c r="B19" s="96"/>
      <c r="C19" s="114" t="s">
        <v>107</v>
      </c>
      <c r="D19" s="121">
        <f>IF(D6=Supuestos!B142,INDEX(Supuestos!$D$4:$Q$10,MATCH(D11,Supuestos!$C$4:$C$10,0),MATCH(D13,Supuestos!$D$3:$Q$3,0)),IF(D6=Supuestos!B140,INDEX(Supuestos!$D$4:$Q$10,MATCH(D6,Supuestos!$B$4:$B$12,0),MATCH(D16,Supuestos!$D$3:$Q$3,0)),IF(D6=Supuestos!B141,INDEX(Supuestos!$D$4:$Q$10,MATCH(D6,Supuestos!$B$4:$B$12,0),MATCH(D16,Supuestos!$D$3:$Q$3)),IF(D6=Supuestos!B143,INDEX(Supuestos!$D$4:$Q$12,MATCH(D6,Supuestos!$B$4:$B$12,0),MATCH(D17,Supuestos!$D$3:$Q$3,0)),IF(D6=Supuestos!B144,INDEX(Supuestos!$D$4:$Q$12,MATCH(D6,Supuestos!$B$4:$B$12,0),MATCH(D17,Supuestos!$D$3:$Q$3,0)),0)))))</f>
        <v>3</v>
      </c>
    </row>
    <row r="20" spans="2:9" ht="15" thickBot="1" x14ac:dyDescent="0.35">
      <c r="B20" s="96"/>
      <c r="C20" s="111" t="s">
        <v>108</v>
      </c>
      <c r="D20" s="122" t="s">
        <v>34</v>
      </c>
    </row>
    <row r="21" spans="2:9" ht="14.4" thickBot="1" x14ac:dyDescent="0.3">
      <c r="C21" s="109"/>
      <c r="D21" s="123"/>
      <c r="G21" s="138" t="s">
        <v>115</v>
      </c>
      <c r="H21" s="139"/>
      <c r="I21" s="140"/>
    </row>
    <row r="22" spans="2:9" ht="13.8" customHeight="1" x14ac:dyDescent="0.25">
      <c r="C22" s="109" t="s">
        <v>109</v>
      </c>
      <c r="D22" s="129">
        <f>D19* D7</f>
        <v>0</v>
      </c>
      <c r="G22" s="141" t="s">
        <v>124</v>
      </c>
      <c r="H22" s="142"/>
      <c r="I22" s="143"/>
    </row>
    <row r="23" spans="2:9" ht="14.4" x14ac:dyDescent="0.3">
      <c r="C23" s="109" t="s">
        <v>110</v>
      </c>
      <c r="D23" s="124" t="s">
        <v>34</v>
      </c>
      <c r="G23" s="141"/>
      <c r="H23" s="142"/>
      <c r="I23" s="143"/>
    </row>
    <row r="24" spans="2:9" ht="14.4" customHeight="1" thickBot="1" x14ac:dyDescent="0.3">
      <c r="C24" s="125"/>
      <c r="D24" s="126"/>
      <c r="G24" s="141" t="s">
        <v>125</v>
      </c>
      <c r="H24" s="142"/>
      <c r="I24" s="143"/>
    </row>
    <row r="25" spans="2:9" ht="16.8" thickTop="1" thickBot="1" x14ac:dyDescent="0.35">
      <c r="C25" s="127" t="s">
        <v>111</v>
      </c>
      <c r="D25" s="128">
        <f>SUM(D22:D23)</f>
        <v>0</v>
      </c>
      <c r="G25" s="144"/>
      <c r="H25" s="145"/>
      <c r="I25" s="146"/>
    </row>
    <row r="26" spans="2:9" ht="15" customHeight="1" x14ac:dyDescent="0.25">
      <c r="C26" s="147" t="s">
        <v>122</v>
      </c>
      <c r="D26" s="148"/>
    </row>
    <row r="27" spans="2:9" x14ac:dyDescent="0.25">
      <c r="C27" s="105" t="s">
        <v>123</v>
      </c>
      <c r="D27" s="106"/>
    </row>
    <row r="28" spans="2:9" x14ac:dyDescent="0.25">
      <c r="C28" s="105" t="s">
        <v>119</v>
      </c>
      <c r="D28" s="106"/>
    </row>
    <row r="29" spans="2:9" ht="14.4" thickBot="1" x14ac:dyDescent="0.3">
      <c r="C29" s="107" t="s">
        <v>120</v>
      </c>
      <c r="D29" s="108"/>
    </row>
    <row r="32" spans="2:9" hidden="1" x14ac:dyDescent="0.25">
      <c r="C32" s="57" t="s">
        <v>103</v>
      </c>
    </row>
    <row r="33" spans="3:8" hidden="1" x14ac:dyDescent="0.25">
      <c r="C33" s="1" t="s">
        <v>36</v>
      </c>
      <c r="D33" s="47">
        <v>44772</v>
      </c>
    </row>
    <row r="34" spans="3:8" hidden="1" x14ac:dyDescent="0.25">
      <c r="C34" s="1" t="s">
        <v>46</v>
      </c>
      <c r="D34" s="4" cm="1">
        <f t="array" ref="D34">_xlfn.IFS(D33&gt;=Supuestos!$C$105,Supuestos!$C$121, D33&gt;=Supuestos!$C$106,Supuestos!$C$121, D33&gt;=Supuestos!$C$107,Supuestos!$C$117 )</f>
        <v>0.1</v>
      </c>
    </row>
    <row r="35" spans="3:8" hidden="1" x14ac:dyDescent="0.25">
      <c r="C35" s="1" t="s">
        <v>101</v>
      </c>
      <c r="D35" s="1">
        <f>D7*D34</f>
        <v>0</v>
      </c>
    </row>
    <row r="36" spans="3:8" hidden="1" x14ac:dyDescent="0.25">
      <c r="C36" s="97" t="s">
        <v>59</v>
      </c>
      <c r="D36" s="98">
        <f>IF(D34&gt;0,EDATE(D33,1),"N/A")</f>
        <v>44803</v>
      </c>
      <c r="E36" s="99"/>
      <c r="H36" s="1" t="s">
        <v>116</v>
      </c>
    </row>
    <row r="37" spans="3:8" hidden="1" x14ac:dyDescent="0.25">
      <c r="C37" s="1" t="s">
        <v>47</v>
      </c>
      <c r="D37" s="4" cm="1">
        <f t="array" ref="D37">_xlfn.IFS(D33&gt;Supuestos!$C$105,Supuestos!$C$121,D33&gt;=Supuestos!$C$106,Supuestos!$C$111,D33&gt;=Supuestos!$C$107,(50%-Supuestos!$C$117))</f>
        <v>0.4</v>
      </c>
    </row>
    <row r="38" spans="3:8" hidden="1" x14ac:dyDescent="0.25">
      <c r="C38" s="1" t="s">
        <v>102</v>
      </c>
      <c r="D38" s="1">
        <f>D37*D7</f>
        <v>0</v>
      </c>
    </row>
    <row r="39" spans="3:8" hidden="1" x14ac:dyDescent="0.25">
      <c r="C39" s="97" t="s">
        <v>60</v>
      </c>
      <c r="D39" s="47">
        <f>Supuestos!$C$53</f>
        <v>45107</v>
      </c>
    </row>
    <row r="40" spans="3:8" hidden="1" x14ac:dyDescent="0.25"/>
    <row r="41" spans="3:8" hidden="1" x14ac:dyDescent="0.25"/>
    <row r="42" spans="3:8" hidden="1" x14ac:dyDescent="0.25"/>
    <row r="43" spans="3:8" hidden="1" x14ac:dyDescent="0.25">
      <c r="C43" s="1" t="s">
        <v>44</v>
      </c>
      <c r="D43" s="1">
        <v>7.5</v>
      </c>
    </row>
    <row r="44" spans="3:8" hidden="1" x14ac:dyDescent="0.25">
      <c r="C44" s="1" t="s">
        <v>42</v>
      </c>
      <c r="D44" s="4">
        <f>IFERROR(D43/D9,Supuestos!$K$3)</f>
        <v>1</v>
      </c>
    </row>
    <row r="45" spans="3:8" hidden="1" x14ac:dyDescent="0.25">
      <c r="C45" s="1" t="s">
        <v>42</v>
      </c>
      <c r="D45" s="1" t="e" cm="1">
        <f t="array" ref="D45">_xlfn.IFS(D44&gt;=Supuestos!E3,INDEX(Supuestos!$D$4:$Q$12,MATCH(D11,Supuestos!$C$4:$C$10,0),MATCH(D44,Supuestos!$D$3:$Q$3,0)))</f>
        <v>#N/A</v>
      </c>
    </row>
    <row r="46" spans="3:8" hidden="1" x14ac:dyDescent="0.25"/>
    <row r="47" spans="3:8" hidden="1" x14ac:dyDescent="0.25"/>
    <row r="48" spans="3:8" hidden="1" x14ac:dyDescent="0.25">
      <c r="C48" s="1" t="s">
        <v>43</v>
      </c>
      <c r="D48" s="47">
        <v>45171</v>
      </c>
    </row>
    <row r="49" spans="2:5" hidden="1" x14ac:dyDescent="0.25"/>
    <row r="50" spans="2:5" hidden="1" x14ac:dyDescent="0.25">
      <c r="C50" s="97" t="s">
        <v>61</v>
      </c>
      <c r="D50" s="1" t="e">
        <f>INDEX(Supuestos!$D$4:$Q$12,MATCH(D11,Supuestos!$D$4:$D$12,0),MATCH(D44,Supuestos!$D$3:$Q$3,0))</f>
        <v>#N/A</v>
      </c>
    </row>
    <row r="51" spans="2:5" hidden="1" x14ac:dyDescent="0.25">
      <c r="C51" s="97" t="s">
        <v>52</v>
      </c>
      <c r="D51" s="1" t="e">
        <f>+D50*D7</f>
        <v>#N/A</v>
      </c>
    </row>
    <row r="52" spans="2:5" hidden="1" x14ac:dyDescent="0.25">
      <c r="C52" s="97" t="s">
        <v>45</v>
      </c>
      <c r="D52" s="1" t="e">
        <f>D51-(D35+D38)</f>
        <v>#N/A</v>
      </c>
    </row>
    <row r="53" spans="2:5" hidden="1" x14ac:dyDescent="0.25">
      <c r="C53" s="97"/>
    </row>
    <row r="54" spans="2:5" hidden="1" x14ac:dyDescent="0.25">
      <c r="C54" s="100" t="s">
        <v>49</v>
      </c>
      <c r="D54" s="47">
        <f>D48+30</f>
        <v>45201</v>
      </c>
      <c r="E54" s="99" t="s">
        <v>105</v>
      </c>
    </row>
    <row r="55" spans="2:5" hidden="1" x14ac:dyDescent="0.25">
      <c r="C55" s="101" t="s">
        <v>48</v>
      </c>
    </row>
    <row r="56" spans="2:5" hidden="1" x14ac:dyDescent="0.25">
      <c r="C56" s="100" t="s">
        <v>50</v>
      </c>
    </row>
    <row r="57" spans="2:5" hidden="1" x14ac:dyDescent="0.25">
      <c r="C57" s="102" t="s">
        <v>51</v>
      </c>
    </row>
    <row r="58" spans="2:5" hidden="1" x14ac:dyDescent="0.25">
      <c r="C58" s="103"/>
    </row>
    <row r="59" spans="2:5" hidden="1" x14ac:dyDescent="0.25">
      <c r="C59" s="103"/>
    </row>
    <row r="60" spans="2:5" hidden="1" x14ac:dyDescent="0.25">
      <c r="B60" s="1" t="s">
        <v>88</v>
      </c>
      <c r="C60" s="57" t="s">
        <v>66</v>
      </c>
    </row>
    <row r="61" spans="2:5" hidden="1" x14ac:dyDescent="0.25"/>
    <row r="62" spans="2:5" hidden="1" x14ac:dyDescent="0.25"/>
    <row r="63" spans="2:5" hidden="1" x14ac:dyDescent="0.25"/>
    <row r="64" spans="2:5" hidden="1" x14ac:dyDescent="0.25"/>
    <row r="65" spans="3:4" hidden="1" x14ac:dyDescent="0.25"/>
    <row r="66" spans="3:4" hidden="1" x14ac:dyDescent="0.25">
      <c r="C66" s="104" t="s">
        <v>95</v>
      </c>
      <c r="D66" s="1" t="e">
        <f>(INDEX(Supuestos!D4:Q12,MATCH(#REF!,Supuestos!C4:C12,0),MATCH(#REF!,Supuestos!D3:Q3,0)))</f>
        <v>#REF!</v>
      </c>
    </row>
    <row r="67" spans="3:4" hidden="1" x14ac:dyDescent="0.25">
      <c r="C67" s="104" t="s">
        <v>94</v>
      </c>
      <c r="D67" s="1" t="e">
        <f>INDEX(Supuestos!D16:Q16,MATCH(#REF!,Supuestos!B16,0),MATCH(#REF!,Supuestos!D15:Q15,0))</f>
        <v>#REF!</v>
      </c>
    </row>
    <row r="68" spans="3:4" ht="14.4" hidden="1" x14ac:dyDescent="0.3">
      <c r="C68" s="74" t="s">
        <v>96</v>
      </c>
      <c r="D68" s="1" t="e">
        <f>IFERROR(D66+D67,D66)</f>
        <v>#REF!</v>
      </c>
    </row>
    <row r="69" spans="3:4" hidden="1" x14ac:dyDescent="0.25">
      <c r="C69" s="104"/>
    </row>
    <row r="70" spans="3:4" hidden="1" x14ac:dyDescent="0.25">
      <c r="C70" s="104" t="s">
        <v>98</v>
      </c>
    </row>
    <row r="71" spans="3:4" hidden="1" x14ac:dyDescent="0.25">
      <c r="C71" s="104" t="s">
        <v>99</v>
      </c>
    </row>
    <row r="72" spans="3:4" hidden="1" x14ac:dyDescent="0.25">
      <c r="C72" s="104" t="s">
        <v>100</v>
      </c>
    </row>
    <row r="73" spans="3:4" hidden="1" x14ac:dyDescent="0.25"/>
    <row r="74" spans="3:4" hidden="1" x14ac:dyDescent="0.25">
      <c r="C74" s="1" t="s">
        <v>88</v>
      </c>
    </row>
    <row r="75" spans="3:4" hidden="1" x14ac:dyDescent="0.25">
      <c r="C75" s="1" t="s">
        <v>90</v>
      </c>
    </row>
    <row r="76" spans="3:4" hidden="1" x14ac:dyDescent="0.25">
      <c r="C76" s="1" t="s">
        <v>91</v>
      </c>
    </row>
    <row r="77" spans="3:4" hidden="1" x14ac:dyDescent="0.25">
      <c r="C77" s="1" t="s">
        <v>92</v>
      </c>
    </row>
    <row r="78" spans="3:4" hidden="1" x14ac:dyDescent="0.25">
      <c r="C78" s="1" t="s">
        <v>93</v>
      </c>
    </row>
    <row r="79" spans="3:4" x14ac:dyDescent="0.25">
      <c r="C79" s="1" t="s">
        <v>88</v>
      </c>
    </row>
  </sheetData>
  <sheetProtection algorithmName="SHA-512" hashValue="mL+4MPE5Kyr7bIwJ9tkrgukTrBR+etZSoDXK7ItCeRB2VrNafEACGgQxkX3YJHWZQiMNxThkAACFUyE8yZTyOw==" saltValue="s3RmNOnLo6e+H04dUulRyA==" spinCount="100000" sheet="1" objects="1" scenarios="1"/>
  <protectedRanges>
    <protectedRange sqref="D7 D17" name="Range1"/>
  </protectedRanges>
  <mergeCells count="5">
    <mergeCell ref="G21:I21"/>
    <mergeCell ref="G22:I23"/>
    <mergeCell ref="G24:I25"/>
    <mergeCell ref="C26:D26"/>
    <mergeCell ref="C2:D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0E7BEAE-BDEC-450B-A27F-AF276F8457AC}">
          <x14:formula1>
            <xm:f>Supuestos!$D$15:$Q$15</xm:f>
          </x14:formula1>
          <xm:sqref>D17</xm:sqref>
        </x14:dataValidation>
        <x14:dataValidation type="list" allowBlank="1" showInputMessage="1" showErrorMessage="1" xr:uid="{AE7A5A7D-086E-4EC2-A2B2-BDFF0AED7E4A}">
          <x14:formula1>
            <xm:f>Supuestos!$B$143</xm:f>
          </x14:formula1>
          <xm:sqref>D6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Supuestos</vt:lpstr>
      <vt:lpstr>Model S</vt:lpstr>
      <vt:lpstr>Calculadora 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Rodriguez</dc:creator>
  <cp:lastModifiedBy>Juan Sebastian Ponce</cp:lastModifiedBy>
  <cp:lastPrinted>2019-12-06T19:44:44Z</cp:lastPrinted>
  <dcterms:created xsi:type="dcterms:W3CDTF">2019-12-02T20:05:52Z</dcterms:created>
  <dcterms:modified xsi:type="dcterms:W3CDTF">2022-08-05T19:43:01Z</dcterms:modified>
</cp:coreProperties>
</file>